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AGF20-2\Desktop\SANDRA\"/>
    </mc:Choice>
  </mc:AlternateContent>
  <bookViews>
    <workbookView xWindow="0" yWindow="0" windowWidth="28800" windowHeight="12435"/>
  </bookViews>
  <sheets>
    <sheet name="коначна табела финал" sheetId="1" r:id="rId1"/>
    <sheet name="студентска" sheetId="2" r:id="rId2"/>
    <sheet name="пријаве" sheetId="3" r:id="rId3"/>
    <sheet name="ЕВ" sheetId="4" r:id="rId4"/>
    <sheet name="Активност" sheetId="5" r:id="rId5"/>
    <sheet name="Присуство" sheetId="6" r:id="rId6"/>
  </sheets>
  <definedNames>
    <definedName name="OLE_LINK1" localSheetId="0">'коначна табела финал'!$A$1</definedName>
    <definedName name="_xlnm.Print_Area" localSheetId="4">Активност!$A$1:$Q$55</definedName>
    <definedName name="_xlnm.Print_Area" localSheetId="0">'коначна табела финал'!$A$1:$V$83</definedName>
    <definedName name="_xlnm.Print_Area" localSheetId="2">пријаве!$A$1:$E$9</definedName>
    <definedName name="_xlnm.Print_Area" localSheetId="5">Присуство!$A$1:$Q$57</definedName>
    <definedName name="_xlnm.Print_Area" localSheetId="1">студентска!$A$1:$O$69</definedName>
    <definedName name="Table" localSheetId="0">'коначна табела финал'!$C$9:$V$79</definedName>
  </definedNames>
  <calcPr calcId="152511"/>
</workbook>
</file>

<file path=xl/calcChain.xml><?xml version="1.0" encoding="utf-8"?>
<calcChain xmlns="http://schemas.openxmlformats.org/spreadsheetml/2006/main">
  <c r="Q72" i="6" l="1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7" i="6"/>
  <c r="Q7" i="6" s="1"/>
  <c r="P6" i="6"/>
  <c r="Q6" i="6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P8" i="5"/>
  <c r="Q8" i="5" s="1"/>
  <c r="P7" i="5"/>
  <c r="Q7" i="5" s="1"/>
  <c r="P6" i="5"/>
  <c r="Q6" i="5" s="1"/>
  <c r="F7" i="3"/>
  <c r="C7" i="3"/>
  <c r="C8" i="3" s="1"/>
  <c r="D8" i="3" s="1"/>
  <c r="D6" i="3"/>
  <c r="C6" i="3"/>
  <c r="C5" i="3"/>
  <c r="F4" i="3"/>
  <c r="C4" i="3"/>
  <c r="C3" i="3"/>
  <c r="F67" i="2"/>
  <c r="F66" i="2"/>
  <c r="J63" i="2"/>
  <c r="I63" i="2"/>
  <c r="H63" i="2"/>
  <c r="G63" i="2"/>
  <c r="F63" i="2"/>
  <c r="E63" i="2"/>
  <c r="D63" i="2"/>
  <c r="C63" i="2"/>
  <c r="J62" i="2"/>
  <c r="I62" i="2"/>
  <c r="H62" i="2"/>
  <c r="G62" i="2"/>
  <c r="F62" i="2"/>
  <c r="E62" i="2"/>
  <c r="D62" i="2"/>
  <c r="C62" i="2"/>
  <c r="J61" i="2"/>
  <c r="I61" i="2"/>
  <c r="H61" i="2"/>
  <c r="G61" i="2"/>
  <c r="F61" i="2"/>
  <c r="E61" i="2"/>
  <c r="D61" i="2"/>
  <c r="C61" i="2"/>
  <c r="J60" i="2"/>
  <c r="I60" i="2"/>
  <c r="H60" i="2"/>
  <c r="G60" i="2"/>
  <c r="F60" i="2"/>
  <c r="E60" i="2"/>
  <c r="D60" i="2"/>
  <c r="C60" i="2"/>
  <c r="J59" i="2"/>
  <c r="I59" i="2"/>
  <c r="H59" i="2"/>
  <c r="G59" i="2"/>
  <c r="F59" i="2"/>
  <c r="E59" i="2"/>
  <c r="D59" i="2"/>
  <c r="C59" i="2"/>
  <c r="J58" i="2"/>
  <c r="I58" i="2"/>
  <c r="H58" i="2"/>
  <c r="G58" i="2"/>
  <c r="F58" i="2"/>
  <c r="E58" i="2"/>
  <c r="D58" i="2"/>
  <c r="C58" i="2"/>
  <c r="J57" i="2"/>
  <c r="I57" i="2"/>
  <c r="H57" i="2"/>
  <c r="G57" i="2"/>
  <c r="F57" i="2"/>
  <c r="E57" i="2"/>
  <c r="D57" i="2"/>
  <c r="C57" i="2"/>
  <c r="J56" i="2"/>
  <c r="I56" i="2"/>
  <c r="H56" i="2"/>
  <c r="G56" i="2"/>
  <c r="F56" i="2"/>
  <c r="E56" i="2"/>
  <c r="D56" i="2"/>
  <c r="C56" i="2"/>
  <c r="J55" i="2"/>
  <c r="I55" i="2"/>
  <c r="H55" i="2"/>
  <c r="G55" i="2"/>
  <c r="F55" i="2"/>
  <c r="E55" i="2"/>
  <c r="D55" i="2"/>
  <c r="C55" i="2"/>
  <c r="J54" i="2"/>
  <c r="I54" i="2"/>
  <c r="H54" i="2"/>
  <c r="G54" i="2"/>
  <c r="F54" i="2"/>
  <c r="E54" i="2"/>
  <c r="D54" i="2"/>
  <c r="C54" i="2"/>
  <c r="J53" i="2"/>
  <c r="I53" i="2"/>
  <c r="H53" i="2"/>
  <c r="G53" i="2"/>
  <c r="F53" i="2"/>
  <c r="E53" i="2"/>
  <c r="D53" i="2"/>
  <c r="C53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37" i="2"/>
  <c r="I37" i="2"/>
  <c r="H37" i="2"/>
  <c r="G37" i="2"/>
  <c r="F37" i="2"/>
  <c r="E37" i="2"/>
  <c r="D37" i="2"/>
  <c r="C37" i="2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O5" i="2"/>
  <c r="M5" i="2"/>
  <c r="K41" i="2" s="1"/>
  <c r="G85" i="1"/>
  <c r="F85" i="1"/>
  <c r="G84" i="1"/>
  <c r="G86" i="1" s="1"/>
  <c r="F84" i="1"/>
  <c r="F86" i="1" s="1"/>
  <c r="G82" i="1"/>
  <c r="F82" i="1"/>
  <c r="U79" i="1"/>
  <c r="R79" i="1"/>
  <c r="S79" i="1" s="1"/>
  <c r="T79" i="1" s="1"/>
  <c r="H79" i="1"/>
  <c r="U78" i="1"/>
  <c r="R78" i="1"/>
  <c r="S78" i="1" s="1"/>
  <c r="T78" i="1" s="1"/>
  <c r="H78" i="1"/>
  <c r="U77" i="1"/>
  <c r="S77" i="1"/>
  <c r="T77" i="1" s="1"/>
  <c r="R77" i="1"/>
  <c r="H77" i="1"/>
  <c r="U76" i="1"/>
  <c r="R76" i="1"/>
  <c r="S76" i="1" s="1"/>
  <c r="T76" i="1" s="1"/>
  <c r="H76" i="1"/>
  <c r="U75" i="1"/>
  <c r="R75" i="1"/>
  <c r="S75" i="1" s="1"/>
  <c r="T75" i="1" s="1"/>
  <c r="H75" i="1"/>
  <c r="U74" i="1"/>
  <c r="R74" i="1"/>
  <c r="S74" i="1" s="1"/>
  <c r="T74" i="1" s="1"/>
  <c r="H74" i="1"/>
  <c r="U73" i="1"/>
  <c r="S73" i="1"/>
  <c r="U82" i="1" s="1"/>
  <c r="R73" i="1"/>
  <c r="U84" i="1" s="1"/>
  <c r="H73" i="1"/>
  <c r="U72" i="1"/>
  <c r="R72" i="1"/>
  <c r="S72" i="1" s="1"/>
  <c r="T72" i="1" s="1"/>
  <c r="H72" i="1"/>
  <c r="U71" i="1"/>
  <c r="R71" i="1"/>
  <c r="S71" i="1" s="1"/>
  <c r="T71" i="1" s="1"/>
  <c r="H71" i="1"/>
  <c r="U70" i="1"/>
  <c r="R70" i="1"/>
  <c r="S70" i="1" s="1"/>
  <c r="T70" i="1" s="1"/>
  <c r="H70" i="1"/>
  <c r="U69" i="1"/>
  <c r="S69" i="1"/>
  <c r="T69" i="1" s="1"/>
  <c r="R69" i="1"/>
  <c r="H69" i="1"/>
  <c r="U68" i="1"/>
  <c r="R68" i="1"/>
  <c r="S68" i="1" s="1"/>
  <c r="T68" i="1" s="1"/>
  <c r="H68" i="1"/>
  <c r="U67" i="1"/>
  <c r="R67" i="1"/>
  <c r="S67" i="1" s="1"/>
  <c r="T67" i="1" s="1"/>
  <c r="H67" i="1"/>
  <c r="U66" i="1"/>
  <c r="R66" i="1"/>
  <c r="S66" i="1" s="1"/>
  <c r="T66" i="1" s="1"/>
  <c r="H66" i="1"/>
  <c r="U65" i="1"/>
  <c r="R65" i="1"/>
  <c r="H65" i="1"/>
  <c r="E65" i="1"/>
  <c r="D65" i="1"/>
  <c r="S65" i="1" s="1"/>
  <c r="T65" i="1" s="1"/>
  <c r="U64" i="1"/>
  <c r="R64" i="1"/>
  <c r="H64" i="1"/>
  <c r="E64" i="1"/>
  <c r="D64" i="1"/>
  <c r="S64" i="1" s="1"/>
  <c r="T64" i="1" s="1"/>
  <c r="U63" i="1"/>
  <c r="R63" i="1"/>
  <c r="H63" i="1"/>
  <c r="E63" i="1"/>
  <c r="D63" i="1"/>
  <c r="S63" i="1" s="1"/>
  <c r="T63" i="1" s="1"/>
  <c r="U62" i="1"/>
  <c r="R62" i="1"/>
  <c r="H62" i="1"/>
  <c r="E62" i="1"/>
  <c r="D62" i="1"/>
  <c r="S62" i="1" s="1"/>
  <c r="T62" i="1" s="1"/>
  <c r="U61" i="1"/>
  <c r="R61" i="1"/>
  <c r="H61" i="1"/>
  <c r="E61" i="1"/>
  <c r="D61" i="1"/>
  <c r="S61" i="1" s="1"/>
  <c r="T61" i="1" s="1"/>
  <c r="U60" i="1"/>
  <c r="R60" i="1"/>
  <c r="H60" i="1"/>
  <c r="E60" i="1"/>
  <c r="D60" i="1"/>
  <c r="S60" i="1" s="1"/>
  <c r="T60" i="1" s="1"/>
  <c r="U59" i="1"/>
  <c r="R59" i="1"/>
  <c r="H59" i="1"/>
  <c r="E59" i="1"/>
  <c r="D59" i="1"/>
  <c r="S59" i="1" s="1"/>
  <c r="T59" i="1" s="1"/>
  <c r="U58" i="1"/>
  <c r="R58" i="1"/>
  <c r="H58" i="1"/>
  <c r="E58" i="1"/>
  <c r="D58" i="1"/>
  <c r="S58" i="1" s="1"/>
  <c r="T58" i="1" s="1"/>
  <c r="U57" i="1"/>
  <c r="R57" i="1"/>
  <c r="H57" i="1"/>
  <c r="E57" i="1"/>
  <c r="D57" i="1"/>
  <c r="S57" i="1" s="1"/>
  <c r="T57" i="1" s="1"/>
  <c r="U56" i="1"/>
  <c r="R56" i="1"/>
  <c r="H56" i="1"/>
  <c r="E56" i="1"/>
  <c r="D56" i="1"/>
  <c r="S56" i="1" s="1"/>
  <c r="T56" i="1" s="1"/>
  <c r="U55" i="1"/>
  <c r="R55" i="1"/>
  <c r="H55" i="1"/>
  <c r="E55" i="1"/>
  <c r="D55" i="1"/>
  <c r="S55" i="1" s="1"/>
  <c r="T55" i="1" s="1"/>
  <c r="U54" i="1"/>
  <c r="R54" i="1"/>
  <c r="H54" i="1"/>
  <c r="E54" i="1"/>
  <c r="D54" i="1"/>
  <c r="S54" i="1" s="1"/>
  <c r="T54" i="1" s="1"/>
  <c r="U53" i="1"/>
  <c r="R53" i="1"/>
  <c r="H53" i="1"/>
  <c r="E53" i="1"/>
  <c r="D53" i="1"/>
  <c r="S53" i="1" s="1"/>
  <c r="T53" i="1" s="1"/>
  <c r="U52" i="1"/>
  <c r="R52" i="1"/>
  <c r="H52" i="1"/>
  <c r="E52" i="1"/>
  <c r="D52" i="1"/>
  <c r="S52" i="1" s="1"/>
  <c r="T52" i="1" s="1"/>
  <c r="U51" i="1"/>
  <c r="R51" i="1"/>
  <c r="H51" i="1"/>
  <c r="E51" i="1"/>
  <c r="D51" i="1"/>
  <c r="S51" i="1" s="1"/>
  <c r="T51" i="1" s="1"/>
  <c r="U50" i="1"/>
  <c r="R50" i="1"/>
  <c r="H50" i="1"/>
  <c r="E50" i="1"/>
  <c r="D50" i="1"/>
  <c r="S50" i="1" s="1"/>
  <c r="T50" i="1" s="1"/>
  <c r="U49" i="1"/>
  <c r="R49" i="1"/>
  <c r="H49" i="1"/>
  <c r="E49" i="1"/>
  <c r="D49" i="1"/>
  <c r="S49" i="1" s="1"/>
  <c r="T49" i="1" s="1"/>
  <c r="U48" i="1"/>
  <c r="R48" i="1"/>
  <c r="H48" i="1"/>
  <c r="E48" i="1"/>
  <c r="D48" i="1"/>
  <c r="S48" i="1" s="1"/>
  <c r="T48" i="1" s="1"/>
  <c r="U47" i="1"/>
  <c r="R47" i="1"/>
  <c r="H47" i="1"/>
  <c r="E47" i="1"/>
  <c r="D47" i="1"/>
  <c r="S47" i="1" s="1"/>
  <c r="T47" i="1" s="1"/>
  <c r="U46" i="1"/>
  <c r="R46" i="1"/>
  <c r="H46" i="1"/>
  <c r="E46" i="1"/>
  <c r="D46" i="1"/>
  <c r="S46" i="1" s="1"/>
  <c r="T46" i="1" s="1"/>
  <c r="U45" i="1"/>
  <c r="R45" i="1"/>
  <c r="H45" i="1"/>
  <c r="E45" i="1"/>
  <c r="D45" i="1"/>
  <c r="S45" i="1" s="1"/>
  <c r="T45" i="1" s="1"/>
  <c r="U44" i="1"/>
  <c r="R44" i="1"/>
  <c r="H44" i="1"/>
  <c r="E44" i="1"/>
  <c r="D44" i="1"/>
  <c r="S44" i="1" s="1"/>
  <c r="T44" i="1" s="1"/>
  <c r="U43" i="1"/>
  <c r="R43" i="1"/>
  <c r="H43" i="1"/>
  <c r="E43" i="1"/>
  <c r="D43" i="1"/>
  <c r="S43" i="1" s="1"/>
  <c r="T43" i="1" s="1"/>
  <c r="U42" i="1"/>
  <c r="R42" i="1"/>
  <c r="H42" i="1"/>
  <c r="E42" i="1"/>
  <c r="D42" i="1"/>
  <c r="S42" i="1" s="1"/>
  <c r="T42" i="1" s="1"/>
  <c r="U41" i="1"/>
  <c r="R41" i="1"/>
  <c r="H41" i="1"/>
  <c r="E41" i="1"/>
  <c r="D41" i="1"/>
  <c r="S41" i="1" s="1"/>
  <c r="T41" i="1" s="1"/>
  <c r="U40" i="1"/>
  <c r="R40" i="1"/>
  <c r="H40" i="1"/>
  <c r="E40" i="1"/>
  <c r="D40" i="1"/>
  <c r="S40" i="1" s="1"/>
  <c r="T40" i="1" s="1"/>
  <c r="U39" i="1"/>
  <c r="R39" i="1"/>
  <c r="H39" i="1"/>
  <c r="E39" i="1"/>
  <c r="D39" i="1"/>
  <c r="S39" i="1" s="1"/>
  <c r="T39" i="1" s="1"/>
  <c r="U38" i="1"/>
  <c r="R38" i="1"/>
  <c r="H38" i="1"/>
  <c r="E38" i="1"/>
  <c r="D38" i="1"/>
  <c r="S38" i="1" s="1"/>
  <c r="T38" i="1" s="1"/>
  <c r="U37" i="1"/>
  <c r="R37" i="1"/>
  <c r="H37" i="1"/>
  <c r="E37" i="1"/>
  <c r="D37" i="1"/>
  <c r="S37" i="1" s="1"/>
  <c r="T37" i="1" s="1"/>
  <c r="U36" i="1"/>
  <c r="R36" i="1"/>
  <c r="H36" i="1"/>
  <c r="E36" i="1"/>
  <c r="D36" i="1"/>
  <c r="S36" i="1" s="1"/>
  <c r="T36" i="1" s="1"/>
  <c r="U35" i="1"/>
  <c r="R35" i="1"/>
  <c r="H35" i="1"/>
  <c r="E35" i="1"/>
  <c r="D35" i="1"/>
  <c r="S35" i="1" s="1"/>
  <c r="T35" i="1" s="1"/>
  <c r="U34" i="1"/>
  <c r="R34" i="1"/>
  <c r="H34" i="1"/>
  <c r="E34" i="1"/>
  <c r="D34" i="1"/>
  <c r="S34" i="1" s="1"/>
  <c r="T34" i="1" s="1"/>
  <c r="U33" i="1"/>
  <c r="R33" i="1"/>
  <c r="H33" i="1"/>
  <c r="E33" i="1"/>
  <c r="D33" i="1"/>
  <c r="S33" i="1" s="1"/>
  <c r="T33" i="1" s="1"/>
  <c r="U32" i="1"/>
  <c r="R32" i="1"/>
  <c r="H32" i="1"/>
  <c r="E32" i="1"/>
  <c r="D32" i="1"/>
  <c r="S32" i="1" s="1"/>
  <c r="T32" i="1" s="1"/>
  <c r="U31" i="1"/>
  <c r="R31" i="1"/>
  <c r="H31" i="1"/>
  <c r="E31" i="1"/>
  <c r="D31" i="1"/>
  <c r="S31" i="1" s="1"/>
  <c r="T31" i="1" s="1"/>
  <c r="U30" i="1"/>
  <c r="R30" i="1"/>
  <c r="H30" i="1"/>
  <c r="E30" i="1"/>
  <c r="D30" i="1"/>
  <c r="S30" i="1" s="1"/>
  <c r="T30" i="1" s="1"/>
  <c r="U29" i="1"/>
  <c r="R29" i="1"/>
  <c r="H29" i="1"/>
  <c r="E29" i="1"/>
  <c r="D29" i="1"/>
  <c r="S29" i="1" s="1"/>
  <c r="T29" i="1" s="1"/>
  <c r="U28" i="1"/>
  <c r="R28" i="1"/>
  <c r="H28" i="1"/>
  <c r="E28" i="1"/>
  <c r="D28" i="1"/>
  <c r="S28" i="1" s="1"/>
  <c r="T28" i="1" s="1"/>
  <c r="U27" i="1"/>
  <c r="R27" i="1"/>
  <c r="H27" i="1"/>
  <c r="E27" i="1"/>
  <c r="D27" i="1"/>
  <c r="S27" i="1" s="1"/>
  <c r="T27" i="1" s="1"/>
  <c r="U26" i="1"/>
  <c r="R26" i="1"/>
  <c r="H26" i="1"/>
  <c r="E26" i="1"/>
  <c r="D26" i="1"/>
  <c r="S26" i="1" s="1"/>
  <c r="T26" i="1" s="1"/>
  <c r="U25" i="1"/>
  <c r="R25" i="1"/>
  <c r="H25" i="1"/>
  <c r="E25" i="1"/>
  <c r="D25" i="1"/>
  <c r="S25" i="1" s="1"/>
  <c r="T25" i="1" s="1"/>
  <c r="U24" i="1"/>
  <c r="R24" i="1"/>
  <c r="H24" i="1"/>
  <c r="E24" i="1"/>
  <c r="D24" i="1"/>
  <c r="S24" i="1" s="1"/>
  <c r="T24" i="1" s="1"/>
  <c r="U23" i="1"/>
  <c r="R23" i="1"/>
  <c r="H23" i="1"/>
  <c r="E23" i="1"/>
  <c r="D23" i="1"/>
  <c r="S23" i="1" s="1"/>
  <c r="T23" i="1" s="1"/>
  <c r="U22" i="1"/>
  <c r="R22" i="1"/>
  <c r="H22" i="1"/>
  <c r="E22" i="1"/>
  <c r="D22" i="1"/>
  <c r="S22" i="1" s="1"/>
  <c r="T22" i="1" s="1"/>
  <c r="U21" i="1"/>
  <c r="R21" i="1"/>
  <c r="H21" i="1"/>
  <c r="E21" i="1"/>
  <c r="D21" i="1"/>
  <c r="S21" i="1" s="1"/>
  <c r="T21" i="1" s="1"/>
  <c r="U20" i="1"/>
  <c r="R20" i="1"/>
  <c r="H20" i="1"/>
  <c r="E20" i="1"/>
  <c r="D20" i="1"/>
  <c r="S20" i="1" s="1"/>
  <c r="T20" i="1" s="1"/>
  <c r="U19" i="1"/>
  <c r="R19" i="1"/>
  <c r="H19" i="1"/>
  <c r="E19" i="1"/>
  <c r="D19" i="1"/>
  <c r="S19" i="1" s="1"/>
  <c r="T19" i="1" s="1"/>
  <c r="U18" i="1"/>
  <c r="R18" i="1"/>
  <c r="H18" i="1"/>
  <c r="E18" i="1"/>
  <c r="D18" i="1"/>
  <c r="S18" i="1" s="1"/>
  <c r="T18" i="1" s="1"/>
  <c r="U17" i="1"/>
  <c r="R17" i="1"/>
  <c r="H17" i="1"/>
  <c r="E17" i="1"/>
  <c r="D17" i="1"/>
  <c r="S17" i="1" s="1"/>
  <c r="T17" i="1" s="1"/>
  <c r="U16" i="1"/>
  <c r="R16" i="1"/>
  <c r="H16" i="1"/>
  <c r="E16" i="1"/>
  <c r="D16" i="1"/>
  <c r="S16" i="1" s="1"/>
  <c r="T16" i="1" s="1"/>
  <c r="U15" i="1"/>
  <c r="R15" i="1"/>
  <c r="H15" i="1"/>
  <c r="E15" i="1"/>
  <c r="D15" i="1"/>
  <c r="S15" i="1" s="1"/>
  <c r="T15" i="1" s="1"/>
  <c r="U14" i="1"/>
  <c r="R14" i="1"/>
  <c r="H14" i="1"/>
  <c r="E14" i="1"/>
  <c r="D14" i="1"/>
  <c r="S14" i="1" s="1"/>
  <c r="T14" i="1" s="1"/>
  <c r="U13" i="1"/>
  <c r="R13" i="1"/>
  <c r="H13" i="1"/>
  <c r="E13" i="1"/>
  <c r="D13" i="1"/>
  <c r="S13" i="1" s="1"/>
  <c r="T13" i="1" s="1"/>
  <c r="M12" i="2" l="1"/>
  <c r="U86" i="1"/>
  <c r="L41" i="2"/>
  <c r="O41" i="2" s="1"/>
  <c r="N41" i="2"/>
  <c r="M41" i="2"/>
  <c r="U87" i="1"/>
  <c r="U83" i="1"/>
  <c r="N12" i="2"/>
  <c r="K15" i="2"/>
  <c r="K19" i="2"/>
  <c r="K23" i="2"/>
  <c r="K27" i="2"/>
  <c r="K31" i="2"/>
  <c r="K35" i="2"/>
  <c r="K39" i="2"/>
  <c r="K43" i="2"/>
  <c r="K44" i="2"/>
  <c r="T73" i="1"/>
  <c r="K16" i="2"/>
  <c r="K20" i="2"/>
  <c r="K24" i="2"/>
  <c r="K28" i="2"/>
  <c r="K32" i="2"/>
  <c r="K36" i="2"/>
  <c r="K40" i="2"/>
  <c r="K48" i="2"/>
  <c r="U85" i="1"/>
  <c r="L12" i="2"/>
  <c r="O12" i="2" s="1"/>
  <c r="K13" i="2"/>
  <c r="K17" i="2"/>
  <c r="K21" i="2"/>
  <c r="K25" i="2"/>
  <c r="K29" i="2"/>
  <c r="K33" i="2"/>
  <c r="K37" i="2"/>
  <c r="K63" i="2"/>
  <c r="K59" i="2"/>
  <c r="K55" i="2"/>
  <c r="K51" i="2"/>
  <c r="K62" i="2"/>
  <c r="K58" i="2"/>
  <c r="K54" i="2"/>
  <c r="K50" i="2"/>
  <c r="K46" i="2"/>
  <c r="K61" i="2"/>
  <c r="K57" i="2"/>
  <c r="K53" i="2"/>
  <c r="K49" i="2"/>
  <c r="K45" i="2"/>
  <c r="K60" i="2"/>
  <c r="K56" i="2"/>
  <c r="K52" i="2"/>
  <c r="K14" i="2"/>
  <c r="K18" i="2"/>
  <c r="K22" i="2"/>
  <c r="K26" i="2"/>
  <c r="K30" i="2"/>
  <c r="K34" i="2"/>
  <c r="K38" i="2"/>
  <c r="K42" i="2"/>
  <c r="K47" i="2"/>
  <c r="N42" i="2" l="1"/>
  <c r="M42" i="2"/>
  <c r="L42" i="2"/>
  <c r="O42" i="2" s="1"/>
  <c r="N52" i="2"/>
  <c r="M52" i="2"/>
  <c r="L52" i="2"/>
  <c r="O52" i="2" s="1"/>
  <c r="N46" i="2"/>
  <c r="M46" i="2"/>
  <c r="L46" i="2"/>
  <c r="O46" i="2" s="1"/>
  <c r="L25" i="2"/>
  <c r="O25" i="2" s="1"/>
  <c r="N25" i="2"/>
  <c r="M25" i="2"/>
  <c r="N38" i="2"/>
  <c r="M38" i="2"/>
  <c r="L38" i="2"/>
  <c r="O38" i="2" s="1"/>
  <c r="N56" i="2"/>
  <c r="M56" i="2"/>
  <c r="L56" i="2"/>
  <c r="O56" i="2" s="1"/>
  <c r="M53" i="2"/>
  <c r="L53" i="2"/>
  <c r="O53" i="2" s="1"/>
  <c r="N53" i="2"/>
  <c r="L50" i="2"/>
  <c r="O50" i="2" s="1"/>
  <c r="N50" i="2"/>
  <c r="M50" i="2"/>
  <c r="N51" i="2"/>
  <c r="M51" i="2"/>
  <c r="L51" i="2"/>
  <c r="O51" i="2" s="1"/>
  <c r="L37" i="2"/>
  <c r="O37" i="2" s="1"/>
  <c r="N37" i="2"/>
  <c r="M37" i="2"/>
  <c r="L21" i="2"/>
  <c r="O21" i="2" s="1"/>
  <c r="N21" i="2"/>
  <c r="M21" i="2"/>
  <c r="M32" i="2"/>
  <c r="L32" i="2"/>
  <c r="O32" i="2" s="1"/>
  <c r="N32" i="2"/>
  <c r="M16" i="2"/>
  <c r="L16" i="2"/>
  <c r="O16" i="2" s="1"/>
  <c r="N16" i="2"/>
  <c r="N39" i="2"/>
  <c r="M39" i="2"/>
  <c r="L39" i="2"/>
  <c r="O39" i="2" s="1"/>
  <c r="N23" i="2"/>
  <c r="M23" i="2"/>
  <c r="L23" i="2"/>
  <c r="O23" i="2" s="1"/>
  <c r="N26" i="2"/>
  <c r="M26" i="2"/>
  <c r="L26" i="2"/>
  <c r="O26" i="2" s="1"/>
  <c r="M49" i="2"/>
  <c r="L49" i="2"/>
  <c r="O49" i="2" s="1"/>
  <c r="N49" i="2"/>
  <c r="L62" i="2"/>
  <c r="O62" i="2" s="1"/>
  <c r="N62" i="2"/>
  <c r="M62" i="2"/>
  <c r="M36" i="2"/>
  <c r="L36" i="2"/>
  <c r="O36" i="2" s="1"/>
  <c r="N36" i="2"/>
  <c r="N22" i="2"/>
  <c r="M22" i="2"/>
  <c r="L22" i="2"/>
  <c r="O22" i="2" s="1"/>
  <c r="N34" i="2"/>
  <c r="M34" i="2"/>
  <c r="L34" i="2"/>
  <c r="O34" i="2" s="1"/>
  <c r="N18" i="2"/>
  <c r="M18" i="2"/>
  <c r="L18" i="2"/>
  <c r="O18" i="2" s="1"/>
  <c r="N60" i="2"/>
  <c r="M60" i="2"/>
  <c r="L60" i="2"/>
  <c r="O60" i="2" s="1"/>
  <c r="M57" i="2"/>
  <c r="L57" i="2"/>
  <c r="O57" i="2" s="1"/>
  <c r="N57" i="2"/>
  <c r="L54" i="2"/>
  <c r="O54" i="2" s="1"/>
  <c r="N54" i="2"/>
  <c r="M54" i="2"/>
  <c r="N55" i="2"/>
  <c r="M55" i="2"/>
  <c r="L55" i="2"/>
  <c r="O55" i="2" s="1"/>
  <c r="L33" i="2"/>
  <c r="O33" i="2" s="1"/>
  <c r="N33" i="2"/>
  <c r="M33" i="2"/>
  <c r="L17" i="2"/>
  <c r="O17" i="2" s="1"/>
  <c r="N17" i="2"/>
  <c r="M17" i="2"/>
  <c r="N48" i="2"/>
  <c r="M48" i="2"/>
  <c r="L48" i="2"/>
  <c r="O48" i="2" s="1"/>
  <c r="M28" i="2"/>
  <c r="L28" i="2"/>
  <c r="O28" i="2" s="1"/>
  <c r="N28" i="2"/>
  <c r="N35" i="2"/>
  <c r="M35" i="2"/>
  <c r="L35" i="2"/>
  <c r="O35" i="2" s="1"/>
  <c r="N19" i="2"/>
  <c r="M19" i="2"/>
  <c r="L19" i="2"/>
  <c r="O19" i="2" s="1"/>
  <c r="N47" i="2"/>
  <c r="M47" i="2"/>
  <c r="L47" i="2"/>
  <c r="O47" i="2" s="1"/>
  <c r="N30" i="2"/>
  <c r="M30" i="2"/>
  <c r="L30" i="2"/>
  <c r="O30" i="2" s="1"/>
  <c r="N14" i="2"/>
  <c r="M14" i="2"/>
  <c r="L14" i="2"/>
  <c r="O14" i="2" s="1"/>
  <c r="L45" i="2"/>
  <c r="O45" i="2" s="1"/>
  <c r="M45" i="2"/>
  <c r="N45" i="2"/>
  <c r="M61" i="2"/>
  <c r="L61" i="2"/>
  <c r="O61" i="2" s="1"/>
  <c r="N61" i="2"/>
  <c r="L58" i="2"/>
  <c r="O58" i="2" s="1"/>
  <c r="N58" i="2"/>
  <c r="M58" i="2"/>
  <c r="N59" i="2"/>
  <c r="M59" i="2"/>
  <c r="L59" i="2"/>
  <c r="O59" i="2" s="1"/>
  <c r="L29" i="2"/>
  <c r="O29" i="2" s="1"/>
  <c r="N29" i="2"/>
  <c r="M29" i="2"/>
  <c r="L13" i="2"/>
  <c r="O13" i="2" s="1"/>
  <c r="N13" i="2"/>
  <c r="M13" i="2"/>
  <c r="M40" i="2"/>
  <c r="L40" i="2"/>
  <c r="O40" i="2" s="1"/>
  <c r="N40" i="2"/>
  <c r="M24" i="2"/>
  <c r="L24" i="2"/>
  <c r="O24" i="2" s="1"/>
  <c r="N24" i="2"/>
  <c r="M44" i="2"/>
  <c r="L44" i="2"/>
  <c r="O44" i="2" s="1"/>
  <c r="N44" i="2"/>
  <c r="N31" i="2"/>
  <c r="M31" i="2"/>
  <c r="L31" i="2"/>
  <c r="O31" i="2" s="1"/>
  <c r="N15" i="2"/>
  <c r="M15" i="2"/>
  <c r="L15" i="2"/>
  <c r="O15" i="2" s="1"/>
  <c r="N63" i="2"/>
  <c r="M63" i="2"/>
  <c r="L63" i="2"/>
  <c r="O63" i="2" s="1"/>
  <c r="M20" i="2"/>
  <c r="L20" i="2"/>
  <c r="O20" i="2" s="1"/>
  <c r="N20" i="2"/>
  <c r="M43" i="2"/>
  <c r="N43" i="2"/>
  <c r="L43" i="2"/>
  <c r="O43" i="2" s="1"/>
  <c r="N27" i="2"/>
  <c r="M27" i="2"/>
  <c r="L27" i="2"/>
  <c r="O27" i="2" s="1"/>
  <c r="J67" i="2" l="1"/>
  <c r="H67" i="2"/>
  <c r="L67" i="2"/>
  <c r="O67" i="2" s="1"/>
  <c r="J66" i="2"/>
  <c r="H66" i="2"/>
  <c r="L66" i="2" l="1"/>
  <c r="O66" i="2" s="1"/>
</calcChain>
</file>

<file path=xl/sharedStrings.xml><?xml version="1.0" encoding="utf-8"?>
<sst xmlns="http://schemas.openxmlformats.org/spreadsheetml/2006/main" count="986" uniqueCount="282">
  <si>
    <t>w</t>
  </si>
  <si>
    <t>Универзитет у Бањој Луци</t>
  </si>
  <si>
    <t>Факултет:</t>
  </si>
  <si>
    <t>Архитектонско-грађевинскo-геодетски факултет</t>
  </si>
  <si>
    <t>Визуелизација и моделовање 1</t>
  </si>
  <si>
    <t>шк</t>
  </si>
  <si>
    <t>Студијски програм:</t>
  </si>
  <si>
    <t>Архитектура</t>
  </si>
  <si>
    <t>4_обавезни</t>
  </si>
  <si>
    <t xml:space="preserve">шифра предмета: </t>
  </si>
  <si>
    <t>ВИМ1</t>
  </si>
  <si>
    <t>Студијски програм_АРХИТЕКТУРА</t>
  </si>
  <si>
    <t>проф. др Живко Бабић, доц. др Сандра Косић-Јеремић</t>
  </si>
  <si>
    <t xml:space="preserve">Датум завршног испита: </t>
  </si>
  <si>
    <t>јун/јул II</t>
  </si>
  <si>
    <t>Проф. др Живко Бабић, Доц. др Сандра Косић-Јеремић</t>
  </si>
  <si>
    <t>асистенти Маја Илић и Драгана Тепић</t>
  </si>
  <si>
    <t>ЗАВРШНИ ИСПИТ</t>
  </si>
  <si>
    <t>Индекс</t>
  </si>
  <si>
    <t>Презиме и име</t>
  </si>
  <si>
    <t>Присуство</t>
  </si>
  <si>
    <t>ЗАПИСНИК О ОДРЖАНОМ ИСПИТУ</t>
  </si>
  <si>
    <t>Активност                    (маx. 10)</t>
  </si>
  <si>
    <t>редни број</t>
  </si>
  <si>
    <t>Колоквијум 01 (макс. 20)</t>
  </si>
  <si>
    <t>Колоквијум 02 (макс. 20)</t>
  </si>
  <si>
    <t>Колоквијум укупно</t>
  </si>
  <si>
    <t>индекс</t>
  </si>
  <si>
    <t>статус</t>
  </si>
  <si>
    <t>Писмени испит (мин 21, макс. 40)+ Усмени (макс. 10)</t>
  </si>
  <si>
    <t>број пријава</t>
  </si>
  <si>
    <t>презиме и име</t>
  </si>
  <si>
    <t>активност</t>
  </si>
  <si>
    <t>колоквијум 1</t>
  </si>
  <si>
    <t>Укупно         (мин. 51)</t>
  </si>
  <si>
    <t>колоквијум 2</t>
  </si>
  <si>
    <t>испит</t>
  </si>
  <si>
    <t>КОНАЧНА ОЦЈЕНА</t>
  </si>
  <si>
    <t>укупно</t>
  </si>
  <si>
    <t>Број пријаве</t>
  </si>
  <si>
    <t>коначна оцјена</t>
  </si>
  <si>
    <t>Статус</t>
  </si>
  <si>
    <t>бодови</t>
  </si>
  <si>
    <t>датум</t>
  </si>
  <si>
    <t>С просјек</t>
  </si>
  <si>
    <t>O просјек</t>
  </si>
  <si>
    <t>јун/јул I</t>
  </si>
  <si>
    <t>сеп I</t>
  </si>
  <si>
    <t>сеп II</t>
  </si>
  <si>
    <t>окт I</t>
  </si>
  <si>
    <t>окт II</t>
  </si>
  <si>
    <t>јан/феб I</t>
  </si>
  <si>
    <t>јан/феб II</t>
  </si>
  <si>
    <t>апр</t>
  </si>
  <si>
    <t xml:space="preserve">испит </t>
  </si>
  <si>
    <t>мин 10,50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</si>
  <si>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</si>
  <si>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</si>
  <si>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</si>
  <si>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</si>
  <si>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</si>
  <si>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</si>
  <si>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</si>
  <si>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</si>
  <si>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</si>
  <si>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01/16</t>
  </si>
  <si>
    <t>Сувара Јелена</t>
  </si>
  <si>
    <t>С</t>
  </si>
  <si>
    <t>02/16</t>
  </si>
  <si>
    <t>Доведен Бланка</t>
  </si>
  <si>
    <t>03/16</t>
  </si>
  <si>
    <t>Ђурић Ђорђе</t>
  </si>
  <si>
    <t>04/16</t>
  </si>
  <si>
    <t>Додош Драган</t>
  </si>
  <si>
    <t>05/16</t>
  </si>
  <si>
    <t>Марчетић Филип</t>
  </si>
  <si>
    <t>06/16</t>
  </si>
  <si>
    <t>Васић Војислав</t>
  </si>
  <si>
    <t>07/16</t>
  </si>
  <si>
    <t>Џатић Теодора</t>
  </si>
  <si>
    <t>08/16</t>
  </si>
  <si>
    <t>Михајлица Мирјана</t>
  </si>
  <si>
    <t>8,5</t>
  </si>
  <si>
    <t>09/16</t>
  </si>
  <si>
    <t>Тривуновић Андреа</t>
  </si>
  <si>
    <t>13</t>
  </si>
  <si>
    <t>10/16</t>
  </si>
  <si>
    <t>Половина Борис</t>
  </si>
  <si>
    <t>10,5</t>
  </si>
  <si>
    <t>11/16</t>
  </si>
  <si>
    <t>Радош Лука</t>
  </si>
  <si>
    <t>12/16</t>
  </si>
  <si>
    <t>Ћосић Марко</t>
  </si>
  <si>
    <t>13/16</t>
  </si>
  <si>
    <t>Шућур Сандра</t>
  </si>
  <si>
    <t>14/16</t>
  </si>
  <si>
    <t>Стећук Николина</t>
  </si>
  <si>
    <t>15/16</t>
  </si>
  <si>
    <t>Башкот Ана</t>
  </si>
  <si>
    <t>16/16</t>
  </si>
  <si>
    <t>Бајрић Ајла</t>
  </si>
  <si>
    <t>17/16</t>
  </si>
  <si>
    <t>Павковић Соња</t>
  </si>
  <si>
    <t>18/16</t>
  </si>
  <si>
    <t>Марчетић Стефана</t>
  </si>
  <si>
    <t>19/16</t>
  </si>
  <si>
    <t>Додиг Исидора</t>
  </si>
  <si>
    <t>20/16</t>
  </si>
  <si>
    <t>Тричић Мирза</t>
  </si>
  <si>
    <t>21/16</t>
  </si>
  <si>
    <t>Винчић Миљана</t>
  </si>
  <si>
    <t>22/16</t>
  </si>
  <si>
    <t>Малбашић Теодора</t>
  </si>
  <si>
    <t>47/10</t>
  </si>
  <si>
    <t>Графички елаборат/Активност</t>
  </si>
  <si>
    <t>Колоквијум 1</t>
  </si>
  <si>
    <t>23/16</t>
  </si>
  <si>
    <t>Вукелић Давид</t>
  </si>
  <si>
    <t>Колоквијум 2</t>
  </si>
  <si>
    <t>Испит</t>
  </si>
  <si>
    <t>24/16</t>
  </si>
  <si>
    <t>Јотановић Немања</t>
  </si>
  <si>
    <t>25/16</t>
  </si>
  <si>
    <t>Карановић Анђелина</t>
  </si>
  <si>
    <t>26/16</t>
  </si>
  <si>
    <t>Чекић Анђела</t>
  </si>
  <si>
    <t>Укупно</t>
  </si>
  <si>
    <t>27/16</t>
  </si>
  <si>
    <t>Милаковић Александра</t>
  </si>
  <si>
    <t>28/16</t>
  </si>
  <si>
    <t>Прибић Миња</t>
  </si>
  <si>
    <t>29/16</t>
  </si>
  <si>
    <t>Стојчић Анђела</t>
  </si>
  <si>
    <t>30/16</t>
  </si>
  <si>
    <t>Тешановић Јелена</t>
  </si>
  <si>
    <t>Е В И Д Е Н Ц И Ј А О И З В О Ђ Е Њ У Н А С Т А В Е</t>
  </si>
  <si>
    <t>31/16</t>
  </si>
  <si>
    <t>Чавић Дејан</t>
  </si>
  <si>
    <t>2016/2017</t>
  </si>
  <si>
    <t xml:space="preserve">Студијски програм: </t>
  </si>
  <si>
    <t xml:space="preserve">АРХИТЕКТУРА															</t>
  </si>
  <si>
    <t xml:space="preserve">ПРЕДМЕТ: </t>
  </si>
  <si>
    <t>Семестар:</t>
  </si>
  <si>
    <t>32/16</t>
  </si>
  <si>
    <t>Обрадовић Анђела</t>
  </si>
  <si>
    <t>Група:</t>
  </si>
  <si>
    <t>Учионица:</t>
  </si>
  <si>
    <t>14.00-16.00</t>
  </si>
  <si>
    <t>Облик наставе:</t>
  </si>
  <si>
    <t>Вјежбе</t>
  </si>
  <si>
    <t>Асистент:</t>
  </si>
  <si>
    <t xml:space="preserve">Маја Илић, дипл. инж. арх. 
Драгана Тепић, дипл. инж. арх. </t>
  </si>
  <si>
    <t>Bjeжба</t>
  </si>
  <si>
    <t>33/16</t>
  </si>
  <si>
    <t>Кузмановић Жељана</t>
  </si>
  <si>
    <t>Датум</t>
  </si>
  <si>
    <t>Студент</t>
  </si>
  <si>
    <t>А</t>
  </si>
  <si>
    <t>34/16</t>
  </si>
  <si>
    <t>Томић Даниел</t>
  </si>
  <si>
    <t>35/16</t>
  </si>
  <si>
    <t>Костић Андреа</t>
  </si>
  <si>
    <t>Галић Оливера</t>
  </si>
  <si>
    <t>Зебић Нина</t>
  </si>
  <si>
    <t>Мићић Дајана</t>
  </si>
  <si>
    <t>Цвијић Бранка</t>
  </si>
  <si>
    <t>БабићКристина</t>
  </si>
  <si>
    <t>Мургуз Аднан</t>
  </si>
  <si>
    <t>Кларић Стипан</t>
  </si>
  <si>
    <t>Нединић Невена</t>
  </si>
  <si>
    <t>Берисављевић Владан</t>
  </si>
  <si>
    <t>Петровић Немања</t>
  </si>
  <si>
    <t>Мајсторовић Игор</t>
  </si>
  <si>
    <t>Микановић Јелена</t>
  </si>
  <si>
    <t>Марјановић Зорана</t>
  </si>
  <si>
    <t>Топић Славица</t>
  </si>
  <si>
    <t>Драгичевић Борис</t>
  </si>
  <si>
    <t>36/16</t>
  </si>
  <si>
    <t>Малешевић Момчило</t>
  </si>
  <si>
    <t>Марјановић Радован</t>
  </si>
  <si>
    <t>Датум:________________</t>
  </si>
  <si>
    <t>Потпис: ___________________________________________________</t>
  </si>
  <si>
    <t>37/16</t>
  </si>
  <si>
    <t>38/16</t>
  </si>
  <si>
    <t>БОДОВИ НА ВЈЕЖБАМА</t>
  </si>
  <si>
    <t>АРХИТЕКТУРА</t>
  </si>
  <si>
    <t>39/16</t>
  </si>
  <si>
    <t>ВЈЕЖБА</t>
  </si>
  <si>
    <t>В1</t>
  </si>
  <si>
    <t>В2</t>
  </si>
  <si>
    <t>В3</t>
  </si>
  <si>
    <t>В4</t>
  </si>
  <si>
    <t>В5</t>
  </si>
  <si>
    <t>40/16</t>
  </si>
  <si>
    <t>В6</t>
  </si>
  <si>
    <t>В7</t>
  </si>
  <si>
    <t>В8</t>
  </si>
  <si>
    <t>В9</t>
  </si>
  <si>
    <t>В10</t>
  </si>
  <si>
    <t>В11</t>
  </si>
  <si>
    <t>В12</t>
  </si>
  <si>
    <t>В13</t>
  </si>
  <si>
    <t>ПОВ</t>
  </si>
  <si>
    <t>Укупни бодови</t>
  </si>
  <si>
    <t>X = позитивно оцијењена вјежба</t>
  </si>
  <si>
    <t>41/16</t>
  </si>
  <si>
    <t>X</t>
  </si>
  <si>
    <t>42/16</t>
  </si>
  <si>
    <t>*</t>
  </si>
  <si>
    <t>43/16</t>
  </si>
  <si>
    <t>44/16</t>
  </si>
  <si>
    <t>45/16</t>
  </si>
  <si>
    <t>46/16</t>
  </si>
  <si>
    <t>47/16</t>
  </si>
  <si>
    <t>48/16</t>
  </si>
  <si>
    <t>49/16</t>
  </si>
  <si>
    <t>препис са СПГРА</t>
  </si>
  <si>
    <t>44/15</t>
  </si>
  <si>
    <t>24/14</t>
  </si>
  <si>
    <t>41/14</t>
  </si>
  <si>
    <t>20/15</t>
  </si>
  <si>
    <t>Крџић Дарко</t>
  </si>
  <si>
    <t>O</t>
  </si>
  <si>
    <t xml:space="preserve">Крџић Дарко </t>
  </si>
  <si>
    <t>ПРИСУСТВО НА ВЈЕЖБАМА</t>
  </si>
  <si>
    <t>O = одсуство</t>
  </si>
  <si>
    <t>05/15</t>
  </si>
  <si>
    <t>Цвијановић Славен</t>
  </si>
  <si>
    <t>има услов</t>
  </si>
  <si>
    <t>није полагао/ла</t>
  </si>
  <si>
    <t>15/15</t>
  </si>
  <si>
    <t>Бореновић Гордана</t>
  </si>
  <si>
    <t>39/15</t>
  </si>
  <si>
    <t>Станковић Борис</t>
  </si>
  <si>
    <t>41/15</t>
  </si>
  <si>
    <t>Ћустић Синиша</t>
  </si>
  <si>
    <t>43/15</t>
  </si>
  <si>
    <t>Ћоћкало Никола</t>
  </si>
  <si>
    <t>46/15</t>
  </si>
  <si>
    <t>Саламић Милица</t>
  </si>
  <si>
    <t>26/14</t>
  </si>
  <si>
    <t>Малешевић Горан</t>
  </si>
  <si>
    <t>34/14</t>
  </si>
  <si>
    <t>Ћулибрк Илија</t>
  </si>
  <si>
    <t>37/14</t>
  </si>
  <si>
    <t>Кесар Јована</t>
  </si>
  <si>
    <t>42/14</t>
  </si>
  <si>
    <t>Јунгић Слободанка</t>
  </si>
  <si>
    <t>12/13</t>
  </si>
  <si>
    <t>Премасунац  Дарја</t>
  </si>
  <si>
    <t>47/13</t>
  </si>
  <si>
    <t>Даниловић Тања</t>
  </si>
  <si>
    <t>31/12</t>
  </si>
  <si>
    <t>Маринковић Соња</t>
  </si>
  <si>
    <t>44/13</t>
  </si>
  <si>
    <t>Скоко Арсеније</t>
  </si>
  <si>
    <t>дисквалификација = више од 5 изостанака са вјежбања</t>
  </si>
  <si>
    <t>УПИСАНО</t>
  </si>
  <si>
    <t>Б</t>
  </si>
  <si>
    <t>НИСУ СТЕКЛИ УСЛОВ</t>
  </si>
  <si>
    <t xml:space="preserve">  </t>
  </si>
  <si>
    <t>Ц</t>
  </si>
  <si>
    <t>НИСУ ПРИСТУПИЛИ ИСПИТУ</t>
  </si>
  <si>
    <t>положили</t>
  </si>
  <si>
    <t>Д</t>
  </si>
  <si>
    <t>ПРИСТУПИЛИ ИСПИТУ</t>
  </si>
  <si>
    <t>изашли</t>
  </si>
  <si>
    <t>Е</t>
  </si>
  <si>
    <t>ПОЛОЖИЛИ</t>
  </si>
  <si>
    <t>пролазност</t>
  </si>
  <si>
    <t>Ф</t>
  </si>
  <si>
    <t>НИСУ ПОЛОЖИЛИ (Д-Е)</t>
  </si>
  <si>
    <t>Г</t>
  </si>
  <si>
    <t>НИСУ ПОЛОЖИЛИ (А-Б-Е)</t>
  </si>
  <si>
    <t>студенту признати бодови од претходне године</t>
  </si>
  <si>
    <t>РЕКАПИТУЛАЦИЈА</t>
  </si>
  <si>
    <t>Приступило</t>
  </si>
  <si>
    <t>Положило</t>
  </si>
  <si>
    <t>Просјечна оцјена</t>
  </si>
  <si>
    <t>Слушало_редовни</t>
  </si>
  <si>
    <t>Слушало_обнова</t>
  </si>
  <si>
    <t>Потпис наставника: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</si>
</sst>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\."/>
    <numFmt numFmtId="166" formatCode="#,##0.0"/>
  </numFmts>
  <fonts count="41" x14ac:knownFonts="1">
    <font>
      <sz val="10"/>
      <color rgb="FF000000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i/>
      <sz val="10"/>
      <name val="Arial"/>
    </font>
    <font>
      <sz val="8"/>
      <name val="Arial"/>
    </font>
    <font>
      <b/>
      <i/>
      <sz val="10"/>
      <name val="Arial"/>
    </font>
    <font>
      <sz val="12"/>
      <name val="Arial"/>
    </font>
    <font>
      <sz val="10"/>
      <name val="Arial"/>
    </font>
    <font>
      <sz val="9"/>
      <name val="Arial"/>
    </font>
    <font>
      <sz val="9"/>
      <color rgb="FF000000"/>
      <name val="Arial"/>
    </font>
    <font>
      <b/>
      <sz val="10"/>
      <name val="Arial"/>
    </font>
    <font>
      <sz val="11"/>
      <name val="Arial"/>
    </font>
    <font>
      <b/>
      <sz val="10"/>
      <color rgb="FFFFFFFF"/>
      <name val="Arial"/>
    </font>
    <font>
      <sz val="7"/>
      <name val="Arial"/>
    </font>
    <font>
      <sz val="10"/>
      <name val="Arial"/>
    </font>
    <font>
      <sz val="7"/>
      <name val="Arial"/>
    </font>
    <font>
      <sz val="8"/>
      <name val="Arial"/>
    </font>
    <font>
      <sz val="8"/>
      <color rgb="FFFFFFFF"/>
      <name val="Arial"/>
    </font>
    <font>
      <sz val="6"/>
      <color rgb="FFFFFFFF"/>
      <name val="Arial"/>
    </font>
    <font>
      <sz val="10"/>
      <name val="Arial"/>
    </font>
    <font>
      <b/>
      <sz val="6"/>
      <color rgb="FFFFFFFF"/>
      <name val="Arial"/>
    </font>
    <font>
      <b/>
      <sz val="8"/>
      <color rgb="FFFFFFFF"/>
      <name val="Arial"/>
    </font>
    <font>
      <b/>
      <sz val="6"/>
      <color rgb="FFFFFFFF"/>
      <name val="Arial"/>
    </font>
    <font>
      <sz val="10"/>
      <color rgb="FFFFFFFF"/>
      <name val="Arial"/>
    </font>
    <font>
      <sz val="9"/>
      <color rgb="FFFFFFFF"/>
      <name val="Arial"/>
    </font>
    <font>
      <b/>
      <sz val="10"/>
      <name val="Arial"/>
    </font>
    <font>
      <sz val="9"/>
      <color rgb="FFFF0000"/>
      <name val="Arial"/>
    </font>
    <font>
      <sz val="8"/>
      <color rgb="FF00000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FF0000"/>
      <name val="Arial"/>
    </font>
    <font>
      <b/>
      <sz val="9"/>
      <color rgb="FFFFFFFF"/>
      <name val="Arial"/>
    </font>
    <font>
      <b/>
      <sz val="8"/>
      <name val="Arial"/>
    </font>
    <font>
      <sz val="9"/>
      <color rgb="FFFFFFFF"/>
      <name val="Arial"/>
    </font>
    <font>
      <b/>
      <sz val="9"/>
      <color rgb="FFFFFFFF"/>
      <name val="Arial"/>
    </font>
    <font>
      <u/>
      <sz val="8"/>
      <color rgb="FF0000FF"/>
      <name val="Arial"/>
    </font>
    <font>
      <sz val="9"/>
      <name val="Arial"/>
    </font>
    <font>
      <b/>
      <sz val="9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666666"/>
        <bgColor rgb="FF666666"/>
      </patternFill>
    </fill>
    <fill>
      <patternFill patternType="solid">
        <fgColor rgb="FF99CC00"/>
        <bgColor rgb="FF99CC00"/>
      </patternFill>
    </fill>
    <fill>
      <patternFill patternType="solid">
        <fgColor rgb="FFFF9900"/>
        <bgColor rgb="FFFF9900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46">
    <xf numFmtId="0" fontId="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/>
    <xf numFmtId="0" fontId="2" fillId="0" borderId="0" xfId="0" applyFont="1"/>
    <xf numFmtId="164" fontId="3" fillId="3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10" fillId="2" borderId="0" xfId="0" applyFont="1" applyFill="1" applyAlignment="1"/>
    <xf numFmtId="0" fontId="11" fillId="4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165" fontId="8" fillId="3" borderId="4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11" fillId="9" borderId="5" xfId="0" applyFont="1" applyFill="1" applyBorder="1" applyAlignment="1">
      <alignment vertical="center" wrapText="1"/>
    </xf>
    <xf numFmtId="49" fontId="3" fillId="10" borderId="3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wrapText="1"/>
    </xf>
    <xf numFmtId="2" fontId="21" fillId="9" borderId="4" xfId="0" applyNumberFormat="1" applyFont="1" applyFill="1" applyBorder="1" applyAlignment="1">
      <alignment horizontal="center" wrapText="1"/>
    </xf>
    <xf numFmtId="1" fontId="9" fillId="0" borderId="8" xfId="0" applyNumberFormat="1" applyFont="1" applyBorder="1" applyAlignment="1">
      <alignment horizontal="center" vertical="center"/>
    </xf>
    <xf numFmtId="49" fontId="21" fillId="9" borderId="4" xfId="0" applyNumberFormat="1" applyFont="1" applyFill="1" applyBorder="1" applyAlignment="1">
      <alignment horizontal="center" wrapText="1"/>
    </xf>
    <xf numFmtId="49" fontId="19" fillId="9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left" vertical="center"/>
    </xf>
    <xf numFmtId="49" fontId="22" fillId="9" borderId="3" xfId="0" applyNumberFormat="1" applyFont="1" applyFill="1" applyBorder="1" applyAlignment="1">
      <alignment horizontal="center" vertical="center" wrapText="1"/>
    </xf>
    <xf numFmtId="2" fontId="11" fillId="9" borderId="3" xfId="0" applyNumberFormat="1" applyFont="1" applyFill="1" applyBorder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4" xfId="0" applyFont="1" applyFill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horizontal="center" vertical="center" wrapText="1"/>
    </xf>
    <xf numFmtId="49" fontId="23" fillId="9" borderId="3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24" fillId="9" borderId="4" xfId="0" applyNumberFormat="1" applyFont="1" applyFill="1" applyBorder="1" applyAlignment="1">
      <alignment horizontal="center" vertical="center" wrapText="1"/>
    </xf>
    <xf numFmtId="164" fontId="24" fillId="9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4" fontId="24" fillId="9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25" fillId="9" borderId="3" xfId="0" applyNumberFormat="1" applyFont="1" applyFill="1" applyBorder="1" applyAlignment="1">
      <alignment horizontal="center"/>
    </xf>
    <xf numFmtId="164" fontId="26" fillId="11" borderId="4" xfId="0" applyNumberFormat="1" applyFont="1" applyFill="1" applyBorder="1" applyAlignment="1">
      <alignment horizontal="center" wrapText="1"/>
    </xf>
    <xf numFmtId="1" fontId="26" fillId="8" borderId="4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/>
    </xf>
    <xf numFmtId="2" fontId="2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wrapText="1"/>
    </xf>
    <xf numFmtId="49" fontId="29" fillId="12" borderId="0" xfId="0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6" fontId="0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center" wrapText="1"/>
    </xf>
    <xf numFmtId="14" fontId="20" fillId="0" borderId="0" xfId="0" applyNumberFormat="1" applyFont="1" applyAlignment="1">
      <alignment wrapText="1"/>
    </xf>
    <xf numFmtId="164" fontId="20" fillId="3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wrapText="1"/>
    </xf>
    <xf numFmtId="0" fontId="3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13" borderId="3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wrapText="1"/>
    </xf>
    <xf numFmtId="0" fontId="33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wrapText="1"/>
    </xf>
    <xf numFmtId="164" fontId="8" fillId="3" borderId="4" xfId="0" applyNumberFormat="1" applyFont="1" applyFill="1" applyBorder="1" applyAlignment="1">
      <alignment horizontal="center"/>
    </xf>
    <xf numFmtId="0" fontId="12" fillId="15" borderId="10" xfId="0" applyFont="1" applyFill="1" applyBorder="1" applyAlignment="1">
      <alignment horizontal="center" wrapText="1"/>
    </xf>
    <xf numFmtId="0" fontId="12" fillId="15" borderId="7" xfId="0" applyFont="1" applyFill="1" applyBorder="1" applyAlignment="1">
      <alignment horizontal="center" wrapText="1"/>
    </xf>
    <xf numFmtId="0" fontId="32" fillId="2" borderId="0" xfId="0" applyFont="1" applyFill="1" applyAlignment="1">
      <alignment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49" fontId="32" fillId="0" borderId="3" xfId="0" applyNumberFormat="1" applyFont="1" applyBorder="1" applyAlignment="1">
      <alignment horizontal="center" vertical="center"/>
    </xf>
    <xf numFmtId="164" fontId="24" fillId="9" borderId="10" xfId="0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top" wrapText="1"/>
    </xf>
    <xf numFmtId="1" fontId="26" fillId="8" borderId="11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1" fontId="3" fillId="3" borderId="1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64" fontId="24" fillId="9" borderId="11" xfId="0" applyNumberFormat="1" applyFont="1" applyFill="1" applyBorder="1" applyAlignment="1">
      <alignment horizontal="center" vertical="center" wrapText="1"/>
    </xf>
    <xf numFmtId="164" fontId="24" fillId="9" borderId="10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2" fontId="25" fillId="9" borderId="10" xfId="0" applyNumberFormat="1" applyFont="1" applyFill="1" applyBorder="1" applyAlignment="1">
      <alignment horizontal="center"/>
    </xf>
    <xf numFmtId="164" fontId="26" fillId="11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164" fontId="24" fillId="9" borderId="8" xfId="0" applyNumberFormat="1" applyFont="1" applyFill="1" applyBorder="1" applyAlignment="1">
      <alignment horizontal="center" vertical="center" wrapText="1"/>
    </xf>
    <xf numFmtId="164" fontId="24" fillId="9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11" fillId="2" borderId="7" xfId="0" applyNumberFormat="1" applyFont="1" applyFill="1" applyBorder="1" applyAlignment="1">
      <alignment horizontal="center" vertical="center" wrapText="1"/>
    </xf>
    <xf numFmtId="164" fontId="24" fillId="9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25" fillId="9" borderId="7" xfId="0" applyNumberFormat="1" applyFont="1" applyFill="1" applyBorder="1" applyAlignment="1">
      <alignment horizontal="center"/>
    </xf>
    <xf numFmtId="164" fontId="26" fillId="11" borderId="8" xfId="0" applyNumberFormat="1" applyFont="1" applyFill="1" applyBorder="1" applyAlignment="1">
      <alignment horizontal="center" wrapText="1"/>
    </xf>
    <xf numFmtId="1" fontId="26" fillId="8" borderId="8" xfId="0" applyNumberFormat="1" applyFont="1" applyFill="1" applyBorder="1" applyAlignment="1">
      <alignment horizontal="right"/>
    </xf>
    <xf numFmtId="1" fontId="3" fillId="3" borderId="7" xfId="0" applyNumberFormat="1" applyFont="1" applyFill="1" applyBorder="1" applyAlignment="1">
      <alignment horizontal="right" vertical="center"/>
    </xf>
    <xf numFmtId="4" fontId="24" fillId="9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20" fillId="0" borderId="4" xfId="0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2" fontId="28" fillId="2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2" fontId="3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wrapText="1"/>
    </xf>
    <xf numFmtId="0" fontId="35" fillId="11" borderId="3" xfId="0" applyFont="1" applyFill="1" applyBorder="1" applyAlignment="1">
      <alignment horizontal="left"/>
    </xf>
    <xf numFmtId="0" fontId="26" fillId="11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36" fillId="0" borderId="0" xfId="0" applyNumberFormat="1" applyFont="1" applyAlignment="1">
      <alignment horizontal="center" vertical="center" wrapText="1"/>
    </xf>
    <xf numFmtId="0" fontId="13" fillId="7" borderId="13" xfId="0" applyFont="1" applyFill="1" applyBorder="1" applyAlignment="1">
      <alignment horizontal="center"/>
    </xf>
    <xf numFmtId="2" fontId="26" fillId="0" borderId="14" xfId="0" applyNumberFormat="1" applyFont="1" applyBorder="1" applyAlignment="1">
      <alignment horizontal="right"/>
    </xf>
    <xf numFmtId="0" fontId="26" fillId="11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2" fontId="8" fillId="0" borderId="14" xfId="0" applyNumberFormat="1" applyFont="1" applyBorder="1" applyAlignment="1">
      <alignment horizontal="right"/>
    </xf>
    <xf numFmtId="0" fontId="17" fillId="7" borderId="3" xfId="0" applyFont="1" applyFill="1" applyBorder="1" applyAlignment="1">
      <alignment horizontal="left"/>
    </xf>
    <xf numFmtId="0" fontId="26" fillId="7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14" xfId="0" applyNumberFormat="1" applyFont="1" applyBorder="1" applyAlignment="1">
      <alignment horizontal="right" wrapText="1"/>
    </xf>
    <xf numFmtId="0" fontId="25" fillId="12" borderId="3" xfId="0" applyFont="1" applyFill="1" applyBorder="1" applyAlignment="1">
      <alignment horizontal="left"/>
    </xf>
    <xf numFmtId="0" fontId="37" fillId="12" borderId="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8" fillId="0" borderId="0" xfId="0" applyFont="1"/>
    <xf numFmtId="0" fontId="3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/>
    </xf>
    <xf numFmtId="49" fontId="39" fillId="0" borderId="8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2" fontId="3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" fontId="40" fillId="0" borderId="3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1" fillId="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wrapText="1"/>
    </xf>
    <xf numFmtId="0" fontId="3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15" fillId="0" borderId="8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tabSelected="1" workbookViewId="0">
      <selection activeCell="D3" sqref="D3"/>
    </sheetView>
  </sheetViews>
  <sheetFormatPr defaultColWidth="17.28515625" defaultRowHeight="15.75" customHeight="1" x14ac:dyDescent="0.2"/>
  <cols>
    <col min="1" max="1" width="4.5703125" customWidth="1"/>
    <col min="2" max="2" width="8.140625" customWidth="1"/>
    <col min="3" max="3" width="33.28515625" customWidth="1"/>
    <col min="4" max="4" width="14" customWidth="1"/>
    <col min="5" max="5" width="17.28515625" customWidth="1"/>
    <col min="6" max="7" width="17" customWidth="1"/>
    <col min="8" max="8" width="16.7109375" customWidth="1"/>
    <col min="9" max="9" width="16.28515625" customWidth="1"/>
    <col min="10" max="10" width="14.7109375" customWidth="1"/>
    <col min="11" max="11" width="8.7109375" customWidth="1"/>
    <col min="12" max="12" width="14.5703125" customWidth="1"/>
    <col min="13" max="13" width="15.28515625" customWidth="1"/>
    <col min="14" max="14" width="8.7109375" customWidth="1"/>
    <col min="15" max="15" width="15.42578125" customWidth="1"/>
    <col min="16" max="16" width="15.85546875" customWidth="1"/>
    <col min="17" max="17" width="8.7109375" customWidth="1"/>
    <col min="18" max="18" width="15.140625" customWidth="1"/>
    <col min="19" max="19" width="16.42578125" customWidth="1"/>
    <col min="20" max="20" width="25.28515625" customWidth="1"/>
    <col min="21" max="21" width="8" customWidth="1"/>
    <col min="22" max="22" width="8.28515625" customWidth="1"/>
    <col min="23" max="23" width="37.28515625" customWidth="1"/>
    <col min="24" max="24" width="18.42578125" customWidth="1"/>
    <col min="25" max="31" width="8" customWidth="1"/>
  </cols>
  <sheetData>
    <row r="1" spans="1:31" ht="15.7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1:31" ht="12.75" customHeight="1" x14ac:dyDescent="0.2">
      <c r="A2" s="3" t="s">
        <v>5</v>
      </c>
      <c r="B2" s="5" t="s">
        <v>138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4"/>
    </row>
    <row r="3" spans="1:31" ht="15" customHeight="1" x14ac:dyDescent="0.2">
      <c r="A3" s="6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</row>
    <row r="4" spans="1:31" ht="15" customHeight="1" x14ac:dyDescent="0.25">
      <c r="A4" s="7" t="s">
        <v>11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4"/>
    </row>
    <row r="5" spans="1:31" ht="15" customHeight="1" x14ac:dyDescent="0.25">
      <c r="A5" s="8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4"/>
    </row>
    <row r="6" spans="1:31" ht="12.75" customHeight="1" x14ac:dyDescent="0.2">
      <c r="A6" s="10" t="s">
        <v>15</v>
      </c>
      <c r="B6" s="11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4"/>
    </row>
    <row r="7" spans="1:31" ht="12.75" customHeight="1" x14ac:dyDescent="0.2">
      <c r="A7" s="13" t="s">
        <v>16</v>
      </c>
      <c r="B7" s="2"/>
      <c r="C7" s="3"/>
      <c r="D7" s="3"/>
      <c r="E7" s="3"/>
      <c r="F7" s="3"/>
      <c r="G7" s="3"/>
      <c r="H7" s="3"/>
      <c r="I7" s="219" t="s">
        <v>17</v>
      </c>
      <c r="J7" s="220"/>
      <c r="K7" s="220"/>
      <c r="L7" s="220"/>
      <c r="M7" s="220"/>
      <c r="N7" s="220"/>
      <c r="O7" s="220"/>
      <c r="P7" s="220"/>
      <c r="Q7" s="220"/>
      <c r="R7" s="220"/>
      <c r="S7" s="16"/>
      <c r="T7" s="3"/>
      <c r="V7" s="4"/>
    </row>
    <row r="8" spans="1:31" ht="12.75" customHeight="1" x14ac:dyDescent="0.2">
      <c r="A8" s="3"/>
      <c r="B8" s="2"/>
      <c r="C8" s="3"/>
      <c r="D8" s="3"/>
      <c r="E8" s="3"/>
      <c r="F8" s="3"/>
      <c r="G8" s="3"/>
      <c r="H8" s="3"/>
      <c r="I8" s="14"/>
      <c r="J8" s="14"/>
      <c r="K8" s="14"/>
      <c r="L8" s="14"/>
      <c r="M8" s="14"/>
      <c r="N8" s="14"/>
      <c r="O8" s="14"/>
      <c r="P8" s="14"/>
      <c r="Q8" s="14"/>
      <c r="R8" s="14"/>
      <c r="S8" s="16"/>
      <c r="T8" s="3"/>
      <c r="V8" s="4"/>
    </row>
    <row r="9" spans="1:31" ht="30.75" customHeight="1" x14ac:dyDescent="0.2">
      <c r="A9" s="18"/>
      <c r="B9" s="19" t="s">
        <v>18</v>
      </c>
      <c r="C9" s="19" t="s">
        <v>19</v>
      </c>
      <c r="D9" s="21" t="s">
        <v>20</v>
      </c>
      <c r="E9" s="22" t="s">
        <v>22</v>
      </c>
      <c r="F9" s="23" t="s">
        <v>24</v>
      </c>
      <c r="G9" s="23" t="s">
        <v>25</v>
      </c>
      <c r="H9" s="24" t="s">
        <v>26</v>
      </c>
      <c r="I9" s="217" t="s">
        <v>29</v>
      </c>
      <c r="J9" s="218"/>
      <c r="K9" s="218"/>
      <c r="L9" s="218"/>
      <c r="M9" s="218"/>
      <c r="N9" s="218"/>
      <c r="O9" s="218"/>
      <c r="P9" s="218"/>
      <c r="Q9" s="218"/>
      <c r="R9" s="218"/>
      <c r="S9" s="26" t="s">
        <v>34</v>
      </c>
      <c r="T9" s="28" t="s">
        <v>37</v>
      </c>
      <c r="U9" s="30" t="s">
        <v>39</v>
      </c>
      <c r="V9" s="31" t="s">
        <v>41</v>
      </c>
      <c r="W9" s="32"/>
      <c r="X9" s="32"/>
      <c r="Y9" s="32"/>
      <c r="Z9" s="32"/>
      <c r="AA9" s="32"/>
      <c r="AB9" s="32"/>
      <c r="AC9" s="32"/>
      <c r="AD9" s="32"/>
      <c r="AE9" s="32"/>
    </row>
    <row r="10" spans="1:31" ht="11.25" customHeight="1" x14ac:dyDescent="0.2">
      <c r="A10" s="34"/>
      <c r="B10" s="34"/>
      <c r="C10" s="36"/>
      <c r="D10" s="38"/>
      <c r="E10" s="39"/>
      <c r="F10" s="40"/>
      <c r="G10" s="40"/>
      <c r="H10" s="41"/>
      <c r="I10" s="43" t="s">
        <v>46</v>
      </c>
      <c r="J10" s="44" t="s">
        <v>14</v>
      </c>
      <c r="K10" s="46" t="s">
        <v>47</v>
      </c>
      <c r="L10" s="46" t="s">
        <v>48</v>
      </c>
      <c r="M10" s="47" t="s">
        <v>49</v>
      </c>
      <c r="N10" s="47" t="s">
        <v>50</v>
      </c>
      <c r="O10" s="46" t="s">
        <v>51</v>
      </c>
      <c r="P10" s="46" t="s">
        <v>52</v>
      </c>
      <c r="Q10" s="46" t="s">
        <v>53</v>
      </c>
      <c r="R10" s="49" t="s">
        <v>54</v>
      </c>
      <c r="S10" s="50"/>
      <c r="T10" s="51"/>
      <c r="U10" s="52"/>
      <c r="V10" s="31"/>
      <c r="W10" s="32"/>
      <c r="X10" s="54"/>
      <c r="Y10" s="54"/>
      <c r="Z10" s="54"/>
      <c r="AA10" s="54"/>
      <c r="AB10" s="55"/>
      <c r="AC10" s="32"/>
      <c r="AD10" s="32"/>
      <c r="AE10" s="32"/>
    </row>
    <row r="11" spans="1:31" ht="11.25" customHeight="1" x14ac:dyDescent="0.2">
      <c r="A11" s="34"/>
      <c r="B11" s="34"/>
      <c r="C11" s="36"/>
      <c r="D11" s="38"/>
      <c r="E11" s="39"/>
      <c r="F11" s="40"/>
      <c r="G11" s="40"/>
      <c r="H11" s="41"/>
      <c r="I11" s="56"/>
      <c r="J11" s="56"/>
      <c r="K11" s="56"/>
      <c r="L11" s="56"/>
      <c r="M11" s="56"/>
      <c r="N11" s="56"/>
      <c r="O11" s="56"/>
      <c r="P11" s="56"/>
      <c r="Q11" s="58"/>
      <c r="R11" s="59"/>
      <c r="S11" s="50"/>
      <c r="T11" s="51"/>
      <c r="U11" s="52"/>
      <c r="V11" s="31"/>
      <c r="W11" s="32"/>
      <c r="X11" s="54"/>
      <c r="Y11" s="54"/>
      <c r="Z11" s="54"/>
      <c r="AA11" s="54"/>
      <c r="AB11" s="55"/>
      <c r="AC11" s="32"/>
      <c r="AD11" s="32"/>
      <c r="AE11" s="32"/>
    </row>
    <row r="12" spans="1:31" ht="11.25" customHeight="1" x14ac:dyDescent="0.2">
      <c r="A12" s="60"/>
      <c r="B12" s="34"/>
      <c r="C12" s="36"/>
      <c r="D12" s="61"/>
      <c r="E12" s="62"/>
      <c r="F12" s="40" t="s">
        <v>55</v>
      </c>
      <c r="G12" s="40" t="s">
        <v>55</v>
      </c>
      <c r="H12" s="41"/>
      <c r="I12" s="63" t="s">
        <v>56</v>
      </c>
      <c r="J12" s="63" t="s">
        <v>57</v>
      </c>
      <c r="K12" s="63" t="s">
        <v>58</v>
      </c>
      <c r="L12" s="63" t="s">
        <v>59</v>
      </c>
      <c r="M12" s="63" t="s">
        <v>60</v>
      </c>
      <c r="N12" s="63" t="s">
        <v>61</v>
      </c>
      <c r="O12" s="63" t="s">
        <v>62</v>
      </c>
      <c r="P12" s="63" t="s">
        <v>63</v>
      </c>
      <c r="Q12" s="63" t="s">
        <v>64</v>
      </c>
      <c r="R12" s="49" t="s">
        <v>54</v>
      </c>
      <c r="S12" s="50"/>
      <c r="T12" s="51"/>
      <c r="U12" s="51"/>
      <c r="V12" s="31"/>
      <c r="W12" s="32"/>
      <c r="Y12" s="54"/>
      <c r="Z12" s="54"/>
      <c r="AA12" s="54"/>
      <c r="AB12" s="55"/>
      <c r="AC12" s="32"/>
      <c r="AD12" s="32"/>
      <c r="AE12" s="32"/>
    </row>
    <row r="13" spans="1:31" ht="15" customHeight="1" x14ac:dyDescent="0.2">
      <c r="A13" s="65">
        <v>1</v>
      </c>
      <c r="B13" s="66" t="s">
        <v>65</v>
      </c>
      <c r="C13" s="68" t="s">
        <v>66</v>
      </c>
      <c r="D13" s="70" t="str">
        <f>VLOOKUP(B13,Присуство!$A$1:$R$96,17,FALSE)</f>
        <v>има услов</v>
      </c>
      <c r="E13" s="71" t="str">
        <f>VLOOKUP(B13,Активност!$A$1:$Q$141,17,FALSE)</f>
        <v>негативно</v>
      </c>
      <c r="F13" s="72">
        <v>14.5</v>
      </c>
      <c r="G13" s="73"/>
      <c r="H13" s="74">
        <f t="shared" ref="H13:H79" si="0">SUMIF(F13:G13,"&gt;10")</f>
        <v>14.5</v>
      </c>
      <c r="I13" s="75"/>
      <c r="J13" s="75"/>
      <c r="K13" s="75"/>
      <c r="L13" s="75"/>
      <c r="M13" s="76"/>
      <c r="N13" s="76"/>
      <c r="O13" s="76"/>
      <c r="P13" s="76"/>
      <c r="Q13" s="76"/>
      <c r="R13" s="77" t="str">
        <f t="shared" ref="R13:R79" si="1">IF(ISBLANK(Q13),IF(ISBLANK(P13),IF(ISBLANK(O13),IF(ISBLANK(N13),IF(ISBLANK(M13),IF(ISBLANK(L13),IF(ISBLANK(K13),IF(ISBLANK(J13),IF(ISBLANK(I13),"није излазио/ла",I13),J13),K13),L13),M13),N13),O13),P13),Q13)</f>
        <v>није излазио/ла</v>
      </c>
      <c r="S13" s="78" t="str">
        <f t="shared" ref="S13:S79" si="2">IF(D13="нема услов","нема услов",IF(E13="негативно","нема услов",IF(R13="није излазио/ла","није полагао/ла",IF(R13&lt;25.4,0,IF(R13="није полагао/ла",0,SUM(E13,H13,R13,))))))</f>
        <v>нема услов</v>
      </c>
      <c r="T13" s="79" t="str">
        <f t="shared" ref="T13:T79" si="3">IF(S13="нема услов","нема услов",IF(S13="није полагао/ла","није полагао/ла",IF(S13&gt;90.9,"10/A (изузетан одличан)",IF(S13&gt;80.9,"9/Б (одличан)",IF(S13&gt;70.9,"8/Ц (врло добар)",IF(S13&gt;60.9,"7/Д (добар)",IF(S13&gt;50.9,"6/Е (довољан)","5/Ф (није положио)")))))))</f>
        <v>нема услов</v>
      </c>
      <c r="U13" s="80">
        <f t="shared" ref="U13:U79" si="4">COUNTIF(I13:P13,"&gt;0")+COUNTIF(I13:P13,"=0")+COUNTIF(I13:P13,"=*")</f>
        <v>0</v>
      </c>
      <c r="V13" s="81" t="s">
        <v>67</v>
      </c>
      <c r="W13" s="82"/>
      <c r="X13" s="83"/>
      <c r="Y13" s="82"/>
      <c r="Z13" s="82"/>
      <c r="AA13" s="82"/>
      <c r="AB13" s="82"/>
      <c r="AC13" s="3"/>
      <c r="AD13" s="3"/>
      <c r="AE13" s="3"/>
    </row>
    <row r="14" spans="1:31" ht="15" customHeight="1" x14ac:dyDescent="0.2">
      <c r="A14" s="65">
        <v>2</v>
      </c>
      <c r="B14" s="66" t="s">
        <v>68</v>
      </c>
      <c r="C14" s="68" t="s">
        <v>69</v>
      </c>
      <c r="D14" s="70" t="str">
        <f>VLOOKUP(B14,Присуство!$A$1:$R$96,17,FALSE)</f>
        <v>има услов</v>
      </c>
      <c r="E14" s="71" t="str">
        <f>VLOOKUP(B14,Активност!$A$1:$Q$141,17,FALSE)</f>
        <v>негативно</v>
      </c>
      <c r="F14" s="72">
        <v>16.5</v>
      </c>
      <c r="G14" s="73"/>
      <c r="H14" s="74">
        <f t="shared" si="0"/>
        <v>16.5</v>
      </c>
      <c r="I14" s="75"/>
      <c r="J14" s="76"/>
      <c r="K14" s="76"/>
      <c r="L14" s="76"/>
      <c r="M14" s="76"/>
      <c r="N14" s="76"/>
      <c r="O14" s="76"/>
      <c r="P14" s="76"/>
      <c r="Q14" s="76"/>
      <c r="R14" s="77" t="str">
        <f t="shared" si="1"/>
        <v>није излазио/ла</v>
      </c>
      <c r="S14" s="78" t="str">
        <f t="shared" si="2"/>
        <v>нема услов</v>
      </c>
      <c r="T14" s="79" t="str">
        <f t="shared" si="3"/>
        <v>нема услов</v>
      </c>
      <c r="U14" s="80">
        <f t="shared" si="4"/>
        <v>0</v>
      </c>
      <c r="V14" s="81" t="s">
        <v>67</v>
      </c>
      <c r="W14" s="82"/>
      <c r="X14" s="82"/>
      <c r="Y14" s="82"/>
      <c r="Z14" s="82"/>
      <c r="AA14" s="82"/>
      <c r="AB14" s="82"/>
      <c r="AC14" s="3"/>
      <c r="AD14" s="3"/>
      <c r="AE14" s="3"/>
    </row>
    <row r="15" spans="1:31" ht="15" customHeight="1" x14ac:dyDescent="0.2">
      <c r="A15" s="65">
        <v>3</v>
      </c>
      <c r="B15" s="66" t="s">
        <v>70</v>
      </c>
      <c r="C15" s="68" t="s">
        <v>71</v>
      </c>
      <c r="D15" s="70" t="str">
        <f>VLOOKUP(B15,Присуство!$A$1:$R$96,17,FALSE)</f>
        <v>има услов</v>
      </c>
      <c r="E15" s="71" t="str">
        <f>VLOOKUP(B15,Активност!$A$1:$Q$141,17,FALSE)</f>
        <v>негативно</v>
      </c>
      <c r="F15" s="73">
        <v>15</v>
      </c>
      <c r="G15" s="73"/>
      <c r="H15" s="74">
        <f t="shared" si="0"/>
        <v>15</v>
      </c>
      <c r="I15" s="75"/>
      <c r="J15" s="75"/>
      <c r="K15" s="76"/>
      <c r="L15" s="76"/>
      <c r="M15" s="76"/>
      <c r="N15" s="76"/>
      <c r="O15" s="76"/>
      <c r="P15" s="75"/>
      <c r="Q15" s="76"/>
      <c r="R15" s="77" t="str">
        <f t="shared" si="1"/>
        <v>није излазио/ла</v>
      </c>
      <c r="S15" s="78" t="str">
        <f t="shared" si="2"/>
        <v>нема услов</v>
      </c>
      <c r="T15" s="79" t="str">
        <f t="shared" si="3"/>
        <v>нема услов</v>
      </c>
      <c r="U15" s="80">
        <f t="shared" si="4"/>
        <v>0</v>
      </c>
      <c r="V15" s="81" t="s">
        <v>67</v>
      </c>
      <c r="W15" s="82"/>
      <c r="X15" s="82"/>
      <c r="Y15" s="82"/>
      <c r="Z15" s="82"/>
      <c r="AA15" s="82"/>
      <c r="AB15" s="82"/>
      <c r="AC15" s="3"/>
      <c r="AD15" s="3"/>
      <c r="AE15" s="3"/>
    </row>
    <row r="16" spans="1:31" ht="15" customHeight="1" x14ac:dyDescent="0.2">
      <c r="A16" s="65">
        <v>4</v>
      </c>
      <c r="B16" s="66" t="s">
        <v>72</v>
      </c>
      <c r="C16" s="68" t="s">
        <v>73</v>
      </c>
      <c r="D16" s="70" t="str">
        <f>VLOOKUP(B16,Присуство!$A$1:$R$96,17,FALSE)</f>
        <v>има услов</v>
      </c>
      <c r="E16" s="71" t="str">
        <f>VLOOKUP(B16,Активност!$A$1:$Q$141,17,FALSE)</f>
        <v>негативно</v>
      </c>
      <c r="F16" s="73">
        <v>19.5</v>
      </c>
      <c r="G16" s="84"/>
      <c r="H16" s="74">
        <f t="shared" si="0"/>
        <v>19.5</v>
      </c>
      <c r="I16" s="75"/>
      <c r="J16" s="76"/>
      <c r="K16" s="76"/>
      <c r="L16" s="76"/>
      <c r="M16" s="75"/>
      <c r="N16" s="76"/>
      <c r="O16" s="76"/>
      <c r="P16" s="75"/>
      <c r="Q16" s="76"/>
      <c r="R16" s="77" t="str">
        <f t="shared" si="1"/>
        <v>није излазио/ла</v>
      </c>
      <c r="S16" s="78" t="str">
        <f t="shared" si="2"/>
        <v>нема услов</v>
      </c>
      <c r="T16" s="79" t="str">
        <f t="shared" si="3"/>
        <v>нема услов</v>
      </c>
      <c r="U16" s="80">
        <f t="shared" si="4"/>
        <v>0</v>
      </c>
      <c r="V16" s="81" t="s">
        <v>67</v>
      </c>
      <c r="W16" s="82"/>
      <c r="X16" s="82"/>
      <c r="Y16" s="82"/>
      <c r="Z16" s="82"/>
      <c r="AA16" s="82"/>
      <c r="AB16" s="82"/>
      <c r="AC16" s="3"/>
      <c r="AD16" s="3"/>
      <c r="AE16" s="3"/>
    </row>
    <row r="17" spans="1:31" ht="15" customHeight="1" x14ac:dyDescent="0.2">
      <c r="A17" s="65">
        <v>5</v>
      </c>
      <c r="B17" s="66" t="s">
        <v>74</v>
      </c>
      <c r="C17" s="68" t="s">
        <v>75</v>
      </c>
      <c r="D17" s="70" t="str">
        <f>VLOOKUP(B17,Присуство!$A$1:$R$96,17,FALSE)</f>
        <v>нема услов</v>
      </c>
      <c r="E17" s="71" t="str">
        <f>VLOOKUP(B17,Активност!$A$1:$Q$141,17,FALSE)</f>
        <v>негативно</v>
      </c>
      <c r="F17" s="73"/>
      <c r="G17" s="73"/>
      <c r="H17" s="74">
        <f t="shared" si="0"/>
        <v>0</v>
      </c>
      <c r="I17" s="75"/>
      <c r="J17" s="75"/>
      <c r="K17" s="76"/>
      <c r="L17" s="76"/>
      <c r="M17" s="76"/>
      <c r="N17" s="76"/>
      <c r="O17" s="76"/>
      <c r="P17" s="76"/>
      <c r="Q17" s="76"/>
      <c r="R17" s="77" t="str">
        <f t="shared" si="1"/>
        <v>није излазио/ла</v>
      </c>
      <c r="S17" s="78" t="str">
        <f t="shared" si="2"/>
        <v>нема услов</v>
      </c>
      <c r="T17" s="79" t="str">
        <f t="shared" si="3"/>
        <v>нема услов</v>
      </c>
      <c r="U17" s="80">
        <f t="shared" si="4"/>
        <v>0</v>
      </c>
      <c r="V17" s="81" t="s">
        <v>67</v>
      </c>
      <c r="W17" s="82"/>
      <c r="X17" s="82"/>
      <c r="Y17" s="82"/>
      <c r="Z17" s="82"/>
      <c r="AA17" s="82"/>
      <c r="AB17" s="82"/>
      <c r="AC17" s="3"/>
      <c r="AD17" s="3"/>
      <c r="AE17" s="3"/>
    </row>
    <row r="18" spans="1:31" ht="15" customHeight="1" x14ac:dyDescent="0.2">
      <c r="A18" s="65">
        <v>6</v>
      </c>
      <c r="B18" s="66" t="s">
        <v>76</v>
      </c>
      <c r="C18" s="68" t="s">
        <v>77</v>
      </c>
      <c r="D18" s="70" t="str">
        <f>VLOOKUP(B18,Присуство!$A$1:$R$96,17,FALSE)</f>
        <v>има услов</v>
      </c>
      <c r="E18" s="71" t="str">
        <f>VLOOKUP(B18,Активност!$A$1:$Q$141,17,FALSE)</f>
        <v>негативно</v>
      </c>
      <c r="F18" s="73">
        <v>17</v>
      </c>
      <c r="G18" s="73"/>
      <c r="H18" s="74">
        <f t="shared" si="0"/>
        <v>17</v>
      </c>
      <c r="I18" s="75"/>
      <c r="J18" s="75"/>
      <c r="K18" s="76"/>
      <c r="L18" s="76"/>
      <c r="M18" s="76"/>
      <c r="N18" s="76"/>
      <c r="O18" s="76"/>
      <c r="P18" s="76"/>
      <c r="Q18" s="76"/>
      <c r="R18" s="77" t="str">
        <f t="shared" si="1"/>
        <v>није излазио/ла</v>
      </c>
      <c r="S18" s="78" t="str">
        <f t="shared" si="2"/>
        <v>нема услов</v>
      </c>
      <c r="T18" s="79" t="str">
        <f t="shared" si="3"/>
        <v>нема услов</v>
      </c>
      <c r="U18" s="80">
        <f t="shared" si="4"/>
        <v>0</v>
      </c>
      <c r="V18" s="81" t="s">
        <v>67</v>
      </c>
      <c r="W18" s="82"/>
      <c r="X18" s="82"/>
      <c r="Y18" s="82"/>
      <c r="Z18" s="82"/>
      <c r="AA18" s="82"/>
      <c r="AB18" s="82"/>
      <c r="AC18" s="3"/>
      <c r="AD18" s="3"/>
      <c r="AE18" s="3"/>
    </row>
    <row r="19" spans="1:31" ht="15" customHeight="1" x14ac:dyDescent="0.2">
      <c r="A19" s="65">
        <v>7</v>
      </c>
      <c r="B19" s="66" t="s">
        <v>78</v>
      </c>
      <c r="C19" s="68" t="s">
        <v>79</v>
      </c>
      <c r="D19" s="70" t="str">
        <f>VLOOKUP(B19,Присуство!$A$1:$R$96,17,FALSE)</f>
        <v>има услов</v>
      </c>
      <c r="E19" s="71" t="str">
        <f>VLOOKUP(B19,Активност!$A$1:$Q$141,17,FALSE)</f>
        <v>негативно</v>
      </c>
      <c r="F19" s="73">
        <v>11</v>
      </c>
      <c r="G19" s="73"/>
      <c r="H19" s="74">
        <f t="shared" si="0"/>
        <v>11</v>
      </c>
      <c r="I19" s="75"/>
      <c r="J19" s="76"/>
      <c r="K19" s="76"/>
      <c r="L19" s="76"/>
      <c r="M19" s="76"/>
      <c r="N19" s="76"/>
      <c r="O19" s="76"/>
      <c r="P19" s="76"/>
      <c r="Q19" s="76"/>
      <c r="R19" s="77" t="str">
        <f t="shared" si="1"/>
        <v>није излазио/ла</v>
      </c>
      <c r="S19" s="78" t="str">
        <f t="shared" si="2"/>
        <v>нема услов</v>
      </c>
      <c r="T19" s="79" t="str">
        <f t="shared" si="3"/>
        <v>нема услов</v>
      </c>
      <c r="U19" s="80">
        <f t="shared" si="4"/>
        <v>0</v>
      </c>
      <c r="V19" s="81" t="s">
        <v>67</v>
      </c>
      <c r="W19" s="82"/>
      <c r="X19" s="82"/>
      <c r="Y19" s="82"/>
      <c r="Z19" s="82"/>
      <c r="AA19" s="82"/>
      <c r="AB19" s="82"/>
      <c r="AC19" s="3"/>
      <c r="AD19" s="3"/>
      <c r="AE19" s="3"/>
    </row>
    <row r="20" spans="1:31" ht="15" customHeight="1" x14ac:dyDescent="0.2">
      <c r="A20" s="65">
        <v>8</v>
      </c>
      <c r="B20" s="66" t="s">
        <v>80</v>
      </c>
      <c r="C20" s="68" t="s">
        <v>81</v>
      </c>
      <c r="D20" s="70" t="str">
        <f>VLOOKUP(B20,Присуство!$A$1:$R$96,17,FALSE)</f>
        <v>има услов</v>
      </c>
      <c r="E20" s="71" t="str">
        <f>VLOOKUP(B20,Активност!$A$1:$Q$141,17,FALSE)</f>
        <v>негативно</v>
      </c>
      <c r="F20" s="85" t="s">
        <v>82</v>
      </c>
      <c r="G20" s="84"/>
      <c r="H20" s="74">
        <f t="shared" si="0"/>
        <v>0</v>
      </c>
      <c r="I20" s="75"/>
      <c r="J20" s="75"/>
      <c r="K20" s="75"/>
      <c r="L20" s="76"/>
      <c r="M20" s="76"/>
      <c r="N20" s="76"/>
      <c r="O20" s="76"/>
      <c r="P20" s="76"/>
      <c r="Q20" s="76"/>
      <c r="R20" s="77" t="str">
        <f t="shared" si="1"/>
        <v>није излазио/ла</v>
      </c>
      <c r="S20" s="78" t="str">
        <f t="shared" si="2"/>
        <v>нема услов</v>
      </c>
      <c r="T20" s="79" t="str">
        <f t="shared" si="3"/>
        <v>нема услов</v>
      </c>
      <c r="U20" s="80">
        <f t="shared" si="4"/>
        <v>0</v>
      </c>
      <c r="V20" s="81" t="s">
        <v>67</v>
      </c>
      <c r="W20" s="82"/>
      <c r="X20" s="82"/>
      <c r="Y20" s="82"/>
      <c r="Z20" s="82"/>
      <c r="AA20" s="82"/>
      <c r="AB20" s="82"/>
      <c r="AC20" s="3"/>
      <c r="AD20" s="3"/>
      <c r="AE20" s="3"/>
    </row>
    <row r="21" spans="1:31" ht="15" customHeight="1" x14ac:dyDescent="0.2">
      <c r="A21" s="65">
        <v>9</v>
      </c>
      <c r="B21" s="66" t="s">
        <v>83</v>
      </c>
      <c r="C21" s="68" t="s">
        <v>84</v>
      </c>
      <c r="D21" s="70" t="str">
        <f>VLOOKUP(B21,Присуство!$A$1:$R$96,17,FALSE)</f>
        <v>има услов</v>
      </c>
      <c r="E21" s="71" t="str">
        <f>VLOOKUP(B21,Активност!$A$1:$Q$141,17,FALSE)</f>
        <v>негативно</v>
      </c>
      <c r="F21" s="85" t="s">
        <v>85</v>
      </c>
      <c r="G21" s="84"/>
      <c r="H21" s="74">
        <f t="shared" si="0"/>
        <v>0</v>
      </c>
      <c r="I21" s="75"/>
      <c r="J21" s="75"/>
      <c r="K21" s="76"/>
      <c r="L21" s="76"/>
      <c r="M21" s="76"/>
      <c r="N21" s="76"/>
      <c r="O21" s="76"/>
      <c r="P21" s="76"/>
      <c r="Q21" s="76"/>
      <c r="R21" s="77" t="str">
        <f t="shared" si="1"/>
        <v>није излазио/ла</v>
      </c>
      <c r="S21" s="78" t="str">
        <f t="shared" si="2"/>
        <v>нема услов</v>
      </c>
      <c r="T21" s="79" t="str">
        <f t="shared" si="3"/>
        <v>нема услов</v>
      </c>
      <c r="U21" s="80">
        <f t="shared" si="4"/>
        <v>0</v>
      </c>
      <c r="V21" s="81" t="s">
        <v>67</v>
      </c>
      <c r="W21" s="82"/>
      <c r="X21" s="82"/>
      <c r="Y21" s="82"/>
      <c r="Z21" s="82"/>
      <c r="AA21" s="82"/>
      <c r="AB21" s="82"/>
      <c r="AC21" s="3"/>
      <c r="AD21" s="3"/>
      <c r="AE21" s="3"/>
    </row>
    <row r="22" spans="1:31" ht="15" customHeight="1" x14ac:dyDescent="0.2">
      <c r="A22" s="65">
        <v>10</v>
      </c>
      <c r="B22" s="66" t="s">
        <v>86</v>
      </c>
      <c r="C22" s="68" t="s">
        <v>87</v>
      </c>
      <c r="D22" s="70" t="str">
        <f>VLOOKUP(B22,Присуство!$A$1:$R$96,17,FALSE)</f>
        <v>има услов</v>
      </c>
      <c r="E22" s="71" t="str">
        <f>VLOOKUP(B22,Активност!$A$1:$Q$141,17,FALSE)</f>
        <v>негативно</v>
      </c>
      <c r="F22" s="85" t="s">
        <v>88</v>
      </c>
      <c r="G22" s="84"/>
      <c r="H22" s="74">
        <f t="shared" si="0"/>
        <v>0</v>
      </c>
      <c r="I22" s="75"/>
      <c r="J22" s="75"/>
      <c r="K22" s="76"/>
      <c r="L22" s="76"/>
      <c r="M22" s="76"/>
      <c r="N22" s="76"/>
      <c r="O22" s="76"/>
      <c r="P22" s="76"/>
      <c r="Q22" s="76"/>
      <c r="R22" s="77" t="str">
        <f t="shared" si="1"/>
        <v>није излазио/ла</v>
      </c>
      <c r="S22" s="78" t="str">
        <f t="shared" si="2"/>
        <v>нема услов</v>
      </c>
      <c r="T22" s="79" t="str">
        <f t="shared" si="3"/>
        <v>нема услов</v>
      </c>
      <c r="U22" s="80">
        <f t="shared" si="4"/>
        <v>0</v>
      </c>
      <c r="V22" s="81" t="s">
        <v>67</v>
      </c>
      <c r="W22" s="82"/>
      <c r="X22" s="82"/>
      <c r="Y22" s="82"/>
      <c r="Z22" s="82"/>
      <c r="AA22" s="82"/>
      <c r="AB22" s="82"/>
      <c r="AC22" s="3"/>
      <c r="AD22" s="3"/>
      <c r="AE22" s="3"/>
    </row>
    <row r="23" spans="1:31" ht="15" customHeight="1" x14ac:dyDescent="0.2">
      <c r="A23" s="65">
        <v>11</v>
      </c>
      <c r="B23" s="66" t="s">
        <v>89</v>
      </c>
      <c r="C23" s="68" t="s">
        <v>90</v>
      </c>
      <c r="D23" s="70" t="str">
        <f>VLOOKUP(B23,Присуство!$A$1:$R$96,17,FALSE)</f>
        <v>нема услов</v>
      </c>
      <c r="E23" s="71" t="str">
        <f>VLOOKUP(B23,Активност!$A$1:$Q$141,17,FALSE)</f>
        <v>негативно</v>
      </c>
      <c r="F23" s="85"/>
      <c r="G23" s="84"/>
      <c r="H23" s="74">
        <f t="shared" si="0"/>
        <v>0</v>
      </c>
      <c r="I23" s="75"/>
      <c r="J23" s="76"/>
      <c r="K23" s="76"/>
      <c r="L23" s="76"/>
      <c r="M23" s="76"/>
      <c r="N23" s="76"/>
      <c r="O23" s="76"/>
      <c r="P23" s="76"/>
      <c r="Q23" s="76"/>
      <c r="R23" s="77" t="str">
        <f t="shared" si="1"/>
        <v>није излазио/ла</v>
      </c>
      <c r="S23" s="78" t="str">
        <f t="shared" si="2"/>
        <v>нема услов</v>
      </c>
      <c r="T23" s="79" t="str">
        <f t="shared" si="3"/>
        <v>нема услов</v>
      </c>
      <c r="U23" s="80">
        <f t="shared" si="4"/>
        <v>0</v>
      </c>
      <c r="V23" s="81" t="s">
        <v>67</v>
      </c>
      <c r="W23" s="82"/>
      <c r="X23" s="82"/>
      <c r="Y23" s="82"/>
      <c r="Z23" s="82"/>
      <c r="AA23" s="82"/>
      <c r="AB23" s="82"/>
      <c r="AC23" s="3"/>
      <c r="AD23" s="3"/>
      <c r="AE23" s="3"/>
    </row>
    <row r="24" spans="1:31" ht="15" customHeight="1" x14ac:dyDescent="0.2">
      <c r="A24" s="65">
        <v>12</v>
      </c>
      <c r="B24" s="66" t="s">
        <v>91</v>
      </c>
      <c r="C24" s="68" t="s">
        <v>92</v>
      </c>
      <c r="D24" s="70" t="str">
        <f>VLOOKUP(B24,Присуство!$A$1:$R$96,17,FALSE)</f>
        <v>има услов</v>
      </c>
      <c r="E24" s="71" t="str">
        <f>VLOOKUP(B24,Активност!$A$1:$Q$141,17,FALSE)</f>
        <v>негативно</v>
      </c>
      <c r="F24" s="85" t="s">
        <v>88</v>
      </c>
      <c r="G24" s="84"/>
      <c r="H24" s="74">
        <f t="shared" si="0"/>
        <v>0</v>
      </c>
      <c r="I24" s="75"/>
      <c r="J24" s="76"/>
      <c r="K24" s="76"/>
      <c r="L24" s="75"/>
      <c r="M24" s="76"/>
      <c r="N24" s="76"/>
      <c r="O24" s="76"/>
      <c r="P24" s="76"/>
      <c r="Q24" s="76"/>
      <c r="R24" s="77" t="str">
        <f t="shared" si="1"/>
        <v>није излазио/ла</v>
      </c>
      <c r="S24" s="78" t="str">
        <f t="shared" si="2"/>
        <v>нема услов</v>
      </c>
      <c r="T24" s="79" t="str">
        <f t="shared" si="3"/>
        <v>нема услов</v>
      </c>
      <c r="U24" s="80">
        <f t="shared" si="4"/>
        <v>0</v>
      </c>
      <c r="V24" s="81" t="s">
        <v>67</v>
      </c>
      <c r="W24" s="82"/>
      <c r="X24" s="83"/>
      <c r="Y24" s="82"/>
      <c r="Z24" s="82"/>
      <c r="AA24" s="82"/>
      <c r="AB24" s="82"/>
      <c r="AC24" s="3"/>
      <c r="AD24" s="3"/>
      <c r="AE24" s="3"/>
    </row>
    <row r="25" spans="1:31" ht="15" customHeight="1" x14ac:dyDescent="0.2">
      <c r="A25" s="65">
        <v>13</v>
      </c>
      <c r="B25" s="66" t="s">
        <v>93</v>
      </c>
      <c r="C25" s="68" t="s">
        <v>94</v>
      </c>
      <c r="D25" s="70" t="str">
        <f>VLOOKUP(B25,Присуство!$A$1:$R$96,17,FALSE)</f>
        <v>има услов</v>
      </c>
      <c r="E25" s="71" t="str">
        <f>VLOOKUP(B25,Активност!$A$1:$Q$141,17,FALSE)</f>
        <v>негативно</v>
      </c>
      <c r="F25" s="73">
        <v>7</v>
      </c>
      <c r="G25" s="84"/>
      <c r="H25" s="74">
        <f t="shared" si="0"/>
        <v>0</v>
      </c>
      <c r="I25" s="75"/>
      <c r="J25" s="75"/>
      <c r="K25" s="76"/>
      <c r="L25" s="76"/>
      <c r="M25" s="76"/>
      <c r="N25" s="76"/>
      <c r="O25" s="76"/>
      <c r="P25" s="76"/>
      <c r="Q25" s="76"/>
      <c r="R25" s="77" t="str">
        <f t="shared" si="1"/>
        <v>није излазио/ла</v>
      </c>
      <c r="S25" s="78" t="str">
        <f t="shared" si="2"/>
        <v>нема услов</v>
      </c>
      <c r="T25" s="79" t="str">
        <f t="shared" si="3"/>
        <v>нема услов</v>
      </c>
      <c r="U25" s="80">
        <f t="shared" si="4"/>
        <v>0</v>
      </c>
      <c r="V25" s="81" t="s">
        <v>67</v>
      </c>
      <c r="W25" s="82"/>
      <c r="X25" s="82"/>
      <c r="Y25" s="82"/>
      <c r="Z25" s="82"/>
      <c r="AA25" s="82"/>
      <c r="AB25" s="82"/>
      <c r="AC25" s="3"/>
      <c r="AD25" s="3"/>
      <c r="AE25" s="3"/>
    </row>
    <row r="26" spans="1:31" ht="15" customHeight="1" x14ac:dyDescent="0.2">
      <c r="A26" s="65">
        <v>14</v>
      </c>
      <c r="B26" s="66" t="s">
        <v>95</v>
      </c>
      <c r="C26" s="68" t="s">
        <v>96</v>
      </c>
      <c r="D26" s="70" t="str">
        <f>VLOOKUP(B26,Присуство!$A$1:$R$96,17,FALSE)</f>
        <v>има услов</v>
      </c>
      <c r="E26" s="71" t="str">
        <f>VLOOKUP(B26,Активност!$A$1:$Q$141,17,FALSE)</f>
        <v>негативно</v>
      </c>
      <c r="F26" s="72">
        <v>4.5</v>
      </c>
      <c r="G26" s="73"/>
      <c r="H26" s="74">
        <f t="shared" si="0"/>
        <v>0</v>
      </c>
      <c r="I26" s="75"/>
      <c r="J26" s="76"/>
      <c r="K26" s="76"/>
      <c r="L26" s="75"/>
      <c r="M26" s="76"/>
      <c r="N26" s="76"/>
      <c r="O26" s="76"/>
      <c r="P26" s="76"/>
      <c r="Q26" s="76"/>
      <c r="R26" s="77" t="str">
        <f t="shared" si="1"/>
        <v>није излазио/ла</v>
      </c>
      <c r="S26" s="78" t="str">
        <f t="shared" si="2"/>
        <v>нема услов</v>
      </c>
      <c r="T26" s="79" t="str">
        <f t="shared" si="3"/>
        <v>нема услов</v>
      </c>
      <c r="U26" s="80">
        <f t="shared" si="4"/>
        <v>0</v>
      </c>
      <c r="V26" s="81" t="s">
        <v>67</v>
      </c>
      <c r="W26" s="82"/>
      <c r="X26" s="83"/>
      <c r="Y26" s="82"/>
      <c r="Z26" s="82"/>
      <c r="AA26" s="82"/>
      <c r="AB26" s="82"/>
      <c r="AC26" s="3"/>
      <c r="AD26" s="3"/>
      <c r="AE26" s="3"/>
    </row>
    <row r="27" spans="1:31" ht="15" customHeight="1" x14ac:dyDescent="0.2">
      <c r="A27" s="65">
        <v>15</v>
      </c>
      <c r="B27" s="66" t="s">
        <v>97</v>
      </c>
      <c r="C27" s="68" t="s">
        <v>98</v>
      </c>
      <c r="D27" s="70" t="str">
        <f>VLOOKUP(B27,Присуство!$A$1:$R$96,17,FALSE)</f>
        <v>нема услов</v>
      </c>
      <c r="E27" s="71" t="str">
        <f>VLOOKUP(B27,Активност!$A$1:$Q$141,17,FALSE)</f>
        <v>негативно</v>
      </c>
      <c r="F27" s="73"/>
      <c r="G27" s="73"/>
      <c r="H27" s="74">
        <f t="shared" si="0"/>
        <v>0</v>
      </c>
      <c r="I27" s="75"/>
      <c r="J27" s="75"/>
      <c r="K27" s="76"/>
      <c r="L27" s="76"/>
      <c r="M27" s="76"/>
      <c r="N27" s="76"/>
      <c r="O27" s="76"/>
      <c r="P27" s="76"/>
      <c r="Q27" s="76"/>
      <c r="R27" s="77" t="str">
        <f t="shared" si="1"/>
        <v>није излазио/ла</v>
      </c>
      <c r="S27" s="78" t="str">
        <f t="shared" si="2"/>
        <v>нема услов</v>
      </c>
      <c r="T27" s="79" t="str">
        <f t="shared" si="3"/>
        <v>нема услов</v>
      </c>
      <c r="U27" s="80">
        <f t="shared" si="4"/>
        <v>0</v>
      </c>
      <c r="V27" s="81" t="s">
        <v>67</v>
      </c>
      <c r="W27" s="82"/>
      <c r="X27" s="82"/>
      <c r="Y27" s="82"/>
      <c r="Z27" s="82"/>
      <c r="AA27" s="82"/>
      <c r="AB27" s="82"/>
      <c r="AC27" s="3"/>
      <c r="AD27" s="3"/>
      <c r="AE27" s="3"/>
    </row>
    <row r="28" spans="1:31" ht="15" customHeight="1" x14ac:dyDescent="0.2">
      <c r="A28" s="65">
        <v>16</v>
      </c>
      <c r="B28" s="66" t="s">
        <v>99</v>
      </c>
      <c r="C28" s="68" t="s">
        <v>100</v>
      </c>
      <c r="D28" s="70" t="str">
        <f>VLOOKUP(B28,Присуство!$A$1:$R$96,17,FALSE)</f>
        <v>нема услов</v>
      </c>
      <c r="E28" s="71" t="str">
        <f>VLOOKUP(B28,Активност!$A$1:$Q$141,17,FALSE)</f>
        <v>негативно</v>
      </c>
      <c r="F28" s="73"/>
      <c r="G28" s="73"/>
      <c r="H28" s="74">
        <f t="shared" si="0"/>
        <v>0</v>
      </c>
      <c r="I28" s="75"/>
      <c r="J28" s="75"/>
      <c r="K28" s="76"/>
      <c r="L28" s="76"/>
      <c r="M28" s="76"/>
      <c r="N28" s="76"/>
      <c r="O28" s="76"/>
      <c r="P28" s="76"/>
      <c r="Q28" s="76"/>
      <c r="R28" s="77" t="str">
        <f t="shared" si="1"/>
        <v>није излазио/ла</v>
      </c>
      <c r="S28" s="78" t="str">
        <f t="shared" si="2"/>
        <v>нема услов</v>
      </c>
      <c r="T28" s="79" t="str">
        <f t="shared" si="3"/>
        <v>нема услов</v>
      </c>
      <c r="U28" s="80">
        <f t="shared" si="4"/>
        <v>0</v>
      </c>
      <c r="V28" s="81" t="s">
        <v>67</v>
      </c>
      <c r="W28" s="82"/>
      <c r="X28" s="82"/>
      <c r="Y28" s="82"/>
      <c r="Z28" s="82"/>
      <c r="AA28" s="82"/>
      <c r="AB28" s="82"/>
      <c r="AC28" s="3"/>
      <c r="AD28" s="3"/>
      <c r="AE28" s="3"/>
    </row>
    <row r="29" spans="1:31" ht="15" customHeight="1" x14ac:dyDescent="0.2">
      <c r="A29" s="65">
        <v>17</v>
      </c>
      <c r="B29" s="66" t="s">
        <v>101</v>
      </c>
      <c r="C29" s="68" t="s">
        <v>102</v>
      </c>
      <c r="D29" s="70" t="str">
        <f>VLOOKUP(B29,Присуство!$A$1:$R$96,17,FALSE)</f>
        <v>има услов</v>
      </c>
      <c r="E29" s="71" t="str">
        <f>VLOOKUP(B29,Активност!$A$1:$Q$141,17,FALSE)</f>
        <v>негативно</v>
      </c>
      <c r="F29" s="72">
        <v>10.5</v>
      </c>
      <c r="G29" s="84"/>
      <c r="H29" s="74">
        <f t="shared" si="0"/>
        <v>10.5</v>
      </c>
      <c r="I29" s="75"/>
      <c r="J29" s="75"/>
      <c r="K29" s="76"/>
      <c r="L29" s="76"/>
      <c r="M29" s="76"/>
      <c r="N29" s="76"/>
      <c r="O29" s="76"/>
      <c r="P29" s="76"/>
      <c r="Q29" s="76"/>
      <c r="R29" s="77" t="str">
        <f t="shared" si="1"/>
        <v>није излазио/ла</v>
      </c>
      <c r="S29" s="78" t="str">
        <f t="shared" si="2"/>
        <v>нема услов</v>
      </c>
      <c r="T29" s="79" t="str">
        <f t="shared" si="3"/>
        <v>нема услов</v>
      </c>
      <c r="U29" s="80">
        <f t="shared" si="4"/>
        <v>0</v>
      </c>
      <c r="V29" s="81" t="s">
        <v>67</v>
      </c>
      <c r="W29" s="83"/>
      <c r="X29" s="82"/>
      <c r="Y29" s="82"/>
      <c r="Z29" s="82"/>
      <c r="AA29" s="82"/>
      <c r="AB29" s="82"/>
      <c r="AC29" s="3"/>
      <c r="AD29" s="3"/>
      <c r="AE29" s="3"/>
    </row>
    <row r="30" spans="1:31" ht="15" customHeight="1" x14ac:dyDescent="0.2">
      <c r="A30" s="65">
        <v>18</v>
      </c>
      <c r="B30" s="66" t="s">
        <v>103</v>
      </c>
      <c r="C30" s="68" t="s">
        <v>104</v>
      </c>
      <c r="D30" s="70" t="str">
        <f>VLOOKUP(B30,Присуство!$A$1:$R$96,17,FALSE)</f>
        <v>има услов</v>
      </c>
      <c r="E30" s="71" t="str">
        <f>VLOOKUP(B30,Активност!$A$1:$Q$141,17,FALSE)</f>
        <v>негативно</v>
      </c>
      <c r="F30" s="72">
        <v>10.5</v>
      </c>
      <c r="G30" s="73"/>
      <c r="H30" s="74">
        <f t="shared" si="0"/>
        <v>10.5</v>
      </c>
      <c r="I30" s="75"/>
      <c r="J30" s="75"/>
      <c r="K30" s="76"/>
      <c r="L30" s="76"/>
      <c r="M30" s="76"/>
      <c r="N30" s="76"/>
      <c r="O30" s="76"/>
      <c r="P30" s="76"/>
      <c r="Q30" s="76"/>
      <c r="R30" s="77" t="str">
        <f t="shared" si="1"/>
        <v>није излазио/ла</v>
      </c>
      <c r="S30" s="78" t="str">
        <f t="shared" si="2"/>
        <v>нема услов</v>
      </c>
      <c r="T30" s="79" t="str">
        <f t="shared" si="3"/>
        <v>нема услов</v>
      </c>
      <c r="U30" s="80">
        <f t="shared" si="4"/>
        <v>0</v>
      </c>
      <c r="V30" s="81" t="s">
        <v>67</v>
      </c>
      <c r="W30" s="82"/>
      <c r="X30" s="82"/>
      <c r="Y30" s="82"/>
      <c r="Z30" s="82"/>
      <c r="AA30" s="82"/>
      <c r="AB30" s="82"/>
      <c r="AC30" s="3"/>
      <c r="AD30" s="3"/>
      <c r="AE30" s="3"/>
    </row>
    <row r="31" spans="1:31" ht="15" customHeight="1" x14ac:dyDescent="0.2">
      <c r="A31" s="65">
        <v>19</v>
      </c>
      <c r="B31" s="66" t="s">
        <v>105</v>
      </c>
      <c r="C31" s="68" t="s">
        <v>106</v>
      </c>
      <c r="D31" s="70" t="str">
        <f>VLOOKUP(B31,Присуство!$A$1:$R$96,17,FALSE)</f>
        <v>има услов</v>
      </c>
      <c r="E31" s="71" t="str">
        <f>VLOOKUP(B31,Активност!$A$1:$Q$141,17,FALSE)</f>
        <v>негативно</v>
      </c>
      <c r="F31" s="73">
        <v>0</v>
      </c>
      <c r="G31" s="73"/>
      <c r="H31" s="74">
        <f t="shared" si="0"/>
        <v>0</v>
      </c>
      <c r="I31" s="75"/>
      <c r="J31" s="76"/>
      <c r="K31" s="75"/>
      <c r="L31" s="75"/>
      <c r="M31" s="76"/>
      <c r="N31" s="76"/>
      <c r="O31" s="76"/>
      <c r="P31" s="76"/>
      <c r="Q31" s="76"/>
      <c r="R31" s="77" t="str">
        <f t="shared" si="1"/>
        <v>није излазио/ла</v>
      </c>
      <c r="S31" s="78" t="str">
        <f t="shared" si="2"/>
        <v>нема услов</v>
      </c>
      <c r="T31" s="79" t="str">
        <f t="shared" si="3"/>
        <v>нема услов</v>
      </c>
      <c r="U31" s="80">
        <f t="shared" si="4"/>
        <v>0</v>
      </c>
      <c r="V31" s="81" t="s">
        <v>67</v>
      </c>
      <c r="W31" s="82"/>
      <c r="X31" s="83"/>
      <c r="Y31" s="82"/>
      <c r="Z31" s="82"/>
      <c r="AA31" s="82"/>
      <c r="AB31" s="82"/>
      <c r="AC31" s="3"/>
      <c r="AD31" s="3"/>
      <c r="AE31" s="3"/>
    </row>
    <row r="32" spans="1:31" ht="15" customHeight="1" x14ac:dyDescent="0.2">
      <c r="A32" s="65">
        <v>20</v>
      </c>
      <c r="B32" s="66" t="s">
        <v>107</v>
      </c>
      <c r="C32" s="68" t="s">
        <v>108</v>
      </c>
      <c r="D32" s="70" t="str">
        <f>VLOOKUP(B32,Присуство!$A$1:$R$96,17,FALSE)</f>
        <v>нема услов</v>
      </c>
      <c r="E32" s="71" t="str">
        <f>VLOOKUP(B32,Активност!$A$1:$Q$141,17,FALSE)</f>
        <v>негативно</v>
      </c>
      <c r="F32" s="73"/>
      <c r="G32" s="73"/>
      <c r="H32" s="74">
        <f t="shared" si="0"/>
        <v>0</v>
      </c>
      <c r="I32" s="75"/>
      <c r="J32" s="87"/>
      <c r="K32" s="76"/>
      <c r="L32" s="76"/>
      <c r="M32" s="75"/>
      <c r="N32" s="75"/>
      <c r="O32" s="76"/>
      <c r="P32" s="76"/>
      <c r="Q32" s="76"/>
      <c r="R32" s="77" t="str">
        <f t="shared" si="1"/>
        <v>није излазио/ла</v>
      </c>
      <c r="S32" s="78" t="str">
        <f t="shared" si="2"/>
        <v>нема услов</v>
      </c>
      <c r="T32" s="79" t="str">
        <f t="shared" si="3"/>
        <v>нема услов</v>
      </c>
      <c r="U32" s="80">
        <f t="shared" si="4"/>
        <v>0</v>
      </c>
      <c r="V32" s="81" t="s">
        <v>67</v>
      </c>
      <c r="W32" s="82"/>
      <c r="X32" s="82"/>
      <c r="Y32" s="82"/>
      <c r="Z32" s="82"/>
      <c r="AA32" s="82"/>
      <c r="AB32" s="82"/>
      <c r="AC32" s="3"/>
      <c r="AD32" s="3"/>
      <c r="AE32" s="3"/>
    </row>
    <row r="33" spans="1:31" ht="15" customHeight="1" x14ac:dyDescent="0.2">
      <c r="A33" s="65">
        <v>21</v>
      </c>
      <c r="B33" s="66" t="s">
        <v>109</v>
      </c>
      <c r="C33" s="68" t="s">
        <v>110</v>
      </c>
      <c r="D33" s="70" t="str">
        <f>VLOOKUP(B33,Присуство!$A$1:$R$96,17,FALSE)</f>
        <v>има услов</v>
      </c>
      <c r="E33" s="71" t="str">
        <f>VLOOKUP(B33,Активност!$A$1:$Q$141,17,FALSE)</f>
        <v>негативно</v>
      </c>
      <c r="F33" s="73">
        <v>4</v>
      </c>
      <c r="G33" s="73"/>
      <c r="H33" s="74">
        <f t="shared" si="0"/>
        <v>0</v>
      </c>
      <c r="I33" s="75"/>
      <c r="J33" s="75"/>
      <c r="K33" s="75"/>
      <c r="L33" s="75"/>
      <c r="M33" s="75"/>
      <c r="N33" s="76"/>
      <c r="O33" s="76"/>
      <c r="P33" s="76"/>
      <c r="Q33" s="76"/>
      <c r="R33" s="77" t="str">
        <f t="shared" si="1"/>
        <v>није излазио/ла</v>
      </c>
      <c r="S33" s="78" t="str">
        <f t="shared" si="2"/>
        <v>нема услов</v>
      </c>
      <c r="T33" s="79" t="str">
        <f t="shared" si="3"/>
        <v>нема услов</v>
      </c>
      <c r="U33" s="80">
        <f t="shared" si="4"/>
        <v>0</v>
      </c>
      <c r="V33" s="81" t="s">
        <v>67</v>
      </c>
      <c r="W33" s="83"/>
      <c r="X33" s="83"/>
      <c r="Y33" s="82"/>
      <c r="Z33" s="82"/>
      <c r="AA33" s="82"/>
      <c r="AB33" s="82"/>
      <c r="AC33" s="3"/>
      <c r="AD33" s="3"/>
      <c r="AE33" s="3"/>
    </row>
    <row r="34" spans="1:31" ht="15" customHeight="1" x14ac:dyDescent="0.2">
      <c r="A34" s="65">
        <v>22</v>
      </c>
      <c r="B34" s="66" t="s">
        <v>111</v>
      </c>
      <c r="C34" s="68" t="s">
        <v>112</v>
      </c>
      <c r="D34" s="70" t="str">
        <f>VLOOKUP(B34,Присуство!$A$1:$R$96,17,FALSE)</f>
        <v>има услов</v>
      </c>
      <c r="E34" s="71" t="str">
        <f>VLOOKUP(B34,Активност!$A$1:$Q$141,17,FALSE)</f>
        <v>негативно</v>
      </c>
      <c r="F34" s="73">
        <v>7</v>
      </c>
      <c r="G34" s="84"/>
      <c r="H34" s="74">
        <f t="shared" si="0"/>
        <v>0</v>
      </c>
      <c r="I34" s="75"/>
      <c r="J34" s="76"/>
      <c r="K34" s="75"/>
      <c r="L34" s="76"/>
      <c r="M34" s="75"/>
      <c r="N34" s="76"/>
      <c r="O34" s="76"/>
      <c r="P34" s="76"/>
      <c r="Q34" s="76"/>
      <c r="R34" s="77" t="str">
        <f t="shared" si="1"/>
        <v>није излазио/ла</v>
      </c>
      <c r="S34" s="78" t="str">
        <f t="shared" si="2"/>
        <v>нема услов</v>
      </c>
      <c r="T34" s="79" t="str">
        <f t="shared" si="3"/>
        <v>нема услов</v>
      </c>
      <c r="U34" s="80">
        <f t="shared" si="4"/>
        <v>0</v>
      </c>
      <c r="V34" s="81" t="s">
        <v>67</v>
      </c>
      <c r="W34" s="82"/>
      <c r="X34" s="82"/>
      <c r="Y34" s="82"/>
      <c r="Z34" s="82"/>
      <c r="AA34" s="82"/>
      <c r="AB34" s="82"/>
      <c r="AC34" s="3"/>
      <c r="AD34" s="3"/>
      <c r="AE34" s="3"/>
    </row>
    <row r="35" spans="1:31" ht="15" customHeight="1" x14ac:dyDescent="0.2">
      <c r="A35" s="65">
        <v>23</v>
      </c>
      <c r="B35" s="66" t="s">
        <v>116</v>
      </c>
      <c r="C35" s="68" t="s">
        <v>117</v>
      </c>
      <c r="D35" s="70" t="str">
        <f>VLOOKUP(B35,Присуство!$A$1:$R$96,17,FALSE)</f>
        <v>има услов</v>
      </c>
      <c r="E35" s="71" t="str">
        <f>VLOOKUP(B35,Активност!$A$1:$Q$141,17,FALSE)</f>
        <v>негативно</v>
      </c>
      <c r="F35" s="73"/>
      <c r="G35" s="96"/>
      <c r="H35" s="74">
        <f t="shared" si="0"/>
        <v>0</v>
      </c>
      <c r="I35" s="75"/>
      <c r="J35" s="75"/>
      <c r="K35" s="76"/>
      <c r="L35" s="76"/>
      <c r="M35" s="76"/>
      <c r="N35" s="76"/>
      <c r="O35" s="76"/>
      <c r="P35" s="76"/>
      <c r="Q35" s="76"/>
      <c r="R35" s="77" t="str">
        <f t="shared" si="1"/>
        <v>није излазио/ла</v>
      </c>
      <c r="S35" s="78" t="str">
        <f t="shared" si="2"/>
        <v>нема услов</v>
      </c>
      <c r="T35" s="79" t="str">
        <f t="shared" si="3"/>
        <v>нема услов</v>
      </c>
      <c r="U35" s="80">
        <f t="shared" si="4"/>
        <v>0</v>
      </c>
      <c r="V35" s="81" t="s">
        <v>67</v>
      </c>
      <c r="W35" s="82"/>
      <c r="X35" s="82"/>
      <c r="Y35" s="82"/>
      <c r="Z35" s="82"/>
      <c r="AA35" s="82"/>
      <c r="AB35" s="82"/>
      <c r="AC35" s="3"/>
      <c r="AD35" s="3"/>
      <c r="AE35" s="3"/>
    </row>
    <row r="36" spans="1:31" ht="15" customHeight="1" x14ac:dyDescent="0.2">
      <c r="A36" s="65">
        <v>24</v>
      </c>
      <c r="B36" s="66" t="s">
        <v>120</v>
      </c>
      <c r="C36" s="68" t="s">
        <v>121</v>
      </c>
      <c r="D36" s="70" t="str">
        <f>VLOOKUP(B36,Присуство!$A$1:$R$96,17,FALSE)</f>
        <v>има услов</v>
      </c>
      <c r="E36" s="71" t="str">
        <f>VLOOKUP(B36,Активност!$A$1:$Q$141,17,FALSE)</f>
        <v>негативно</v>
      </c>
      <c r="F36" s="73"/>
      <c r="G36" s="73"/>
      <c r="H36" s="74">
        <f t="shared" si="0"/>
        <v>0</v>
      </c>
      <c r="I36" s="75"/>
      <c r="J36" s="75"/>
      <c r="K36" s="76"/>
      <c r="L36" s="76"/>
      <c r="M36" s="76"/>
      <c r="N36" s="76"/>
      <c r="O36" s="76"/>
      <c r="P36" s="76"/>
      <c r="Q36" s="76"/>
      <c r="R36" s="77" t="str">
        <f t="shared" si="1"/>
        <v>није излазио/ла</v>
      </c>
      <c r="S36" s="78" t="str">
        <f t="shared" si="2"/>
        <v>нема услов</v>
      </c>
      <c r="T36" s="79" t="str">
        <f t="shared" si="3"/>
        <v>нема услов</v>
      </c>
      <c r="U36" s="80">
        <f t="shared" si="4"/>
        <v>0</v>
      </c>
      <c r="V36" s="81" t="s">
        <v>67</v>
      </c>
      <c r="W36" s="82"/>
      <c r="X36" s="82"/>
      <c r="Y36" s="82"/>
      <c r="Z36" s="82"/>
      <c r="AA36" s="82"/>
      <c r="AB36" s="82"/>
      <c r="AC36" s="3"/>
      <c r="AD36" s="3"/>
      <c r="AE36" s="3"/>
    </row>
    <row r="37" spans="1:31" ht="15" customHeight="1" x14ac:dyDescent="0.2">
      <c r="A37" s="65">
        <v>25</v>
      </c>
      <c r="B37" s="66" t="s">
        <v>122</v>
      </c>
      <c r="C37" s="68" t="s">
        <v>123</v>
      </c>
      <c r="D37" s="70" t="str">
        <f>VLOOKUP(B37,Присуство!$A$1:$R$96,17,FALSE)</f>
        <v>има услов</v>
      </c>
      <c r="E37" s="71" t="str">
        <f>VLOOKUP(B37,Активност!$A$1:$Q$141,17,FALSE)</f>
        <v>негативно</v>
      </c>
      <c r="F37" s="73"/>
      <c r="G37" s="73"/>
      <c r="H37" s="74">
        <f t="shared" si="0"/>
        <v>0</v>
      </c>
      <c r="I37" s="75"/>
      <c r="J37" s="75"/>
      <c r="K37" s="76"/>
      <c r="L37" s="76"/>
      <c r="M37" s="76"/>
      <c r="N37" s="76"/>
      <c r="O37" s="76"/>
      <c r="P37" s="76"/>
      <c r="Q37" s="76"/>
      <c r="R37" s="77" t="str">
        <f t="shared" si="1"/>
        <v>није излазио/ла</v>
      </c>
      <c r="S37" s="78" t="str">
        <f t="shared" si="2"/>
        <v>нема услов</v>
      </c>
      <c r="T37" s="79" t="str">
        <f t="shared" si="3"/>
        <v>нема услов</v>
      </c>
      <c r="U37" s="80">
        <f t="shared" si="4"/>
        <v>0</v>
      </c>
      <c r="V37" s="81" t="s">
        <v>67</v>
      </c>
      <c r="W37" s="82"/>
      <c r="X37" s="82"/>
      <c r="Y37" s="82"/>
      <c r="Z37" s="82"/>
      <c r="AA37" s="82"/>
      <c r="AB37" s="82"/>
      <c r="AC37" s="3"/>
      <c r="AD37" s="3"/>
      <c r="AE37" s="3"/>
    </row>
    <row r="38" spans="1:31" ht="15" customHeight="1" x14ac:dyDescent="0.2">
      <c r="A38" s="65">
        <v>26</v>
      </c>
      <c r="B38" s="66" t="s">
        <v>124</v>
      </c>
      <c r="C38" s="68" t="s">
        <v>125</v>
      </c>
      <c r="D38" s="70" t="str">
        <f>VLOOKUP(B38,Присуство!$A$1:$R$96,17,FALSE)</f>
        <v>нема услов</v>
      </c>
      <c r="E38" s="71" t="str">
        <f>VLOOKUP(B38,Активност!$A$1:$Q$141,17,FALSE)</f>
        <v>негативно</v>
      </c>
      <c r="F38" s="73"/>
      <c r="G38" s="84"/>
      <c r="H38" s="74">
        <f t="shared" si="0"/>
        <v>0</v>
      </c>
      <c r="I38" s="75"/>
      <c r="J38" s="75"/>
      <c r="K38" s="76"/>
      <c r="L38" s="76"/>
      <c r="M38" s="76"/>
      <c r="N38" s="75"/>
      <c r="O38" s="76"/>
      <c r="P38" s="76"/>
      <c r="Q38" s="76"/>
      <c r="R38" s="77" t="str">
        <f t="shared" si="1"/>
        <v>није излазио/ла</v>
      </c>
      <c r="S38" s="78" t="str">
        <f t="shared" si="2"/>
        <v>нема услов</v>
      </c>
      <c r="T38" s="79" t="str">
        <f t="shared" si="3"/>
        <v>нема услов</v>
      </c>
      <c r="U38" s="80">
        <f t="shared" si="4"/>
        <v>0</v>
      </c>
      <c r="V38" s="81" t="s">
        <v>67</v>
      </c>
      <c r="W38" s="82"/>
      <c r="X38" s="82"/>
      <c r="Y38" s="82"/>
      <c r="Z38" s="82"/>
      <c r="AA38" s="82"/>
      <c r="AB38" s="82"/>
      <c r="AC38" s="3"/>
      <c r="AD38" s="3"/>
      <c r="AE38" s="3"/>
    </row>
    <row r="39" spans="1:31" ht="15" customHeight="1" x14ac:dyDescent="0.2">
      <c r="A39" s="65">
        <v>27</v>
      </c>
      <c r="B39" s="66" t="s">
        <v>127</v>
      </c>
      <c r="C39" s="68" t="s">
        <v>128</v>
      </c>
      <c r="D39" s="70" t="str">
        <f>VLOOKUP(B39,Присуство!$A$1:$R$96,17,FALSE)</f>
        <v>нема услов</v>
      </c>
      <c r="E39" s="71" t="str">
        <f>VLOOKUP(B39,Активност!$A$1:$Q$141,17,FALSE)</f>
        <v>негативно</v>
      </c>
      <c r="F39" s="73"/>
      <c r="G39" s="73"/>
      <c r="H39" s="74">
        <f t="shared" si="0"/>
        <v>0</v>
      </c>
      <c r="I39" s="75"/>
      <c r="J39" s="75"/>
      <c r="K39" s="75"/>
      <c r="L39" s="75"/>
      <c r="M39" s="76"/>
      <c r="N39" s="76"/>
      <c r="O39" s="76"/>
      <c r="P39" s="76"/>
      <c r="Q39" s="76"/>
      <c r="R39" s="77" t="str">
        <f t="shared" si="1"/>
        <v>није излазио/ла</v>
      </c>
      <c r="S39" s="78" t="str">
        <f t="shared" si="2"/>
        <v>нема услов</v>
      </c>
      <c r="T39" s="79" t="str">
        <f t="shared" si="3"/>
        <v>нема услов</v>
      </c>
      <c r="U39" s="80">
        <f t="shared" si="4"/>
        <v>0</v>
      </c>
      <c r="V39" s="81" t="s">
        <v>67</v>
      </c>
      <c r="W39" s="82"/>
      <c r="X39" s="83"/>
      <c r="Y39" s="82"/>
      <c r="Z39" s="82"/>
      <c r="AA39" s="82"/>
      <c r="AB39" s="82"/>
      <c r="AC39" s="3"/>
      <c r="AD39" s="3"/>
      <c r="AE39" s="3"/>
    </row>
    <row r="40" spans="1:31" ht="15" customHeight="1" x14ac:dyDescent="0.2">
      <c r="A40" s="65">
        <v>28</v>
      </c>
      <c r="B40" s="66" t="s">
        <v>129</v>
      </c>
      <c r="C40" s="68" t="s">
        <v>130</v>
      </c>
      <c r="D40" s="70" t="str">
        <f>VLOOKUP(B40,Присуство!$A$1:$R$96,17,FALSE)</f>
        <v>нема услов</v>
      </c>
      <c r="E40" s="71" t="str">
        <f>VLOOKUP(B40,Активност!$A$1:$Q$141,17,FALSE)</f>
        <v>негативно</v>
      </c>
      <c r="F40" s="73"/>
      <c r="G40" s="73"/>
      <c r="H40" s="74">
        <f t="shared" si="0"/>
        <v>0</v>
      </c>
      <c r="I40" s="75"/>
      <c r="J40" s="76"/>
      <c r="K40" s="76"/>
      <c r="L40" s="76"/>
      <c r="M40" s="76"/>
      <c r="N40" s="76"/>
      <c r="O40" s="76"/>
      <c r="P40" s="76"/>
      <c r="Q40" s="76"/>
      <c r="R40" s="77" t="str">
        <f t="shared" si="1"/>
        <v>није излазио/ла</v>
      </c>
      <c r="S40" s="78" t="str">
        <f t="shared" si="2"/>
        <v>нема услов</v>
      </c>
      <c r="T40" s="79" t="str">
        <f t="shared" si="3"/>
        <v>нема услов</v>
      </c>
      <c r="U40" s="80">
        <f t="shared" si="4"/>
        <v>0</v>
      </c>
      <c r="V40" s="81" t="s">
        <v>67</v>
      </c>
      <c r="W40" s="82"/>
      <c r="X40" s="82"/>
      <c r="Y40" s="82"/>
      <c r="Z40" s="82"/>
      <c r="AA40" s="82"/>
      <c r="AB40" s="82"/>
      <c r="AC40" s="3"/>
      <c r="AD40" s="3"/>
      <c r="AE40" s="3"/>
    </row>
    <row r="41" spans="1:31" ht="15" customHeight="1" x14ac:dyDescent="0.2">
      <c r="A41" s="65">
        <v>29</v>
      </c>
      <c r="B41" s="66" t="s">
        <v>131</v>
      </c>
      <c r="C41" s="68" t="s">
        <v>132</v>
      </c>
      <c r="D41" s="70" t="str">
        <f>VLOOKUP(B41,Присуство!$A$1:$R$96,17,FALSE)</f>
        <v>има услов</v>
      </c>
      <c r="E41" s="71" t="str">
        <f>VLOOKUP(B41,Активност!$A$1:$Q$141,17,FALSE)</f>
        <v>негативно</v>
      </c>
      <c r="F41" s="73">
        <v>13</v>
      </c>
      <c r="G41" s="73"/>
      <c r="H41" s="74">
        <f t="shared" si="0"/>
        <v>13</v>
      </c>
      <c r="I41" s="75"/>
      <c r="J41" s="75"/>
      <c r="K41" s="76"/>
      <c r="L41" s="75"/>
      <c r="M41" s="75"/>
      <c r="N41" s="76"/>
      <c r="O41" s="76"/>
      <c r="P41" s="76"/>
      <c r="Q41" s="76"/>
      <c r="R41" s="77" t="str">
        <f t="shared" si="1"/>
        <v>није излазио/ла</v>
      </c>
      <c r="S41" s="78" t="str">
        <f t="shared" si="2"/>
        <v>нема услов</v>
      </c>
      <c r="T41" s="79" t="str">
        <f t="shared" si="3"/>
        <v>нема услов</v>
      </c>
      <c r="U41" s="80">
        <f t="shared" si="4"/>
        <v>0</v>
      </c>
      <c r="V41" s="81" t="s">
        <v>67</v>
      </c>
      <c r="W41" s="82"/>
      <c r="X41" s="83"/>
      <c r="Y41" s="82"/>
      <c r="Z41" s="82"/>
      <c r="AA41" s="82"/>
      <c r="AB41" s="82"/>
      <c r="AC41" s="3"/>
      <c r="AD41" s="3"/>
      <c r="AE41" s="3"/>
    </row>
    <row r="42" spans="1:31" ht="15" customHeight="1" x14ac:dyDescent="0.2">
      <c r="A42" s="65">
        <v>30</v>
      </c>
      <c r="B42" s="66" t="s">
        <v>133</v>
      </c>
      <c r="C42" s="68" t="s">
        <v>134</v>
      </c>
      <c r="D42" s="70" t="str">
        <f>VLOOKUP(B42,Присуство!$A$1:$R$96,17,FALSE)</f>
        <v>има услов</v>
      </c>
      <c r="E42" s="71" t="str">
        <f>VLOOKUP(B42,Активност!$A$1:$Q$141,17,FALSE)</f>
        <v>негативно</v>
      </c>
      <c r="F42" s="73">
        <v>2.5</v>
      </c>
      <c r="G42" s="84"/>
      <c r="H42" s="74">
        <f t="shared" si="0"/>
        <v>0</v>
      </c>
      <c r="I42" s="75"/>
      <c r="J42" s="75"/>
      <c r="K42" s="76"/>
      <c r="L42" s="75"/>
      <c r="M42" s="76"/>
      <c r="N42" s="76"/>
      <c r="O42" s="76"/>
      <c r="P42" s="76"/>
      <c r="Q42" s="76"/>
      <c r="R42" s="77" t="str">
        <f t="shared" si="1"/>
        <v>није излазио/ла</v>
      </c>
      <c r="S42" s="78" t="str">
        <f t="shared" si="2"/>
        <v>нема услов</v>
      </c>
      <c r="T42" s="79" t="str">
        <f t="shared" si="3"/>
        <v>нема услов</v>
      </c>
      <c r="U42" s="80">
        <f t="shared" si="4"/>
        <v>0</v>
      </c>
      <c r="V42" s="81" t="s">
        <v>67</v>
      </c>
      <c r="W42" s="82"/>
      <c r="X42" s="83"/>
      <c r="Y42" s="82"/>
      <c r="Z42" s="82"/>
      <c r="AA42" s="82"/>
      <c r="AB42" s="82"/>
      <c r="AC42" s="3"/>
      <c r="AD42" s="3"/>
      <c r="AE42" s="3"/>
    </row>
    <row r="43" spans="1:31" ht="15" customHeight="1" x14ac:dyDescent="0.2">
      <c r="A43" s="65">
        <v>31</v>
      </c>
      <c r="B43" s="66" t="s">
        <v>136</v>
      </c>
      <c r="C43" s="68" t="s">
        <v>137</v>
      </c>
      <c r="D43" s="70" t="str">
        <f>VLOOKUP(B43,Присуство!$A$1:$R$96,17,FALSE)</f>
        <v>има услов</v>
      </c>
      <c r="E43" s="71" t="str">
        <f>VLOOKUP(B43,Активност!$A$1:$Q$141,17,FALSE)</f>
        <v>негативно</v>
      </c>
      <c r="F43" s="72">
        <v>10.5</v>
      </c>
      <c r="G43" s="73"/>
      <c r="H43" s="74">
        <f t="shared" si="0"/>
        <v>10.5</v>
      </c>
      <c r="I43" s="75"/>
      <c r="J43" s="75"/>
      <c r="K43" s="75"/>
      <c r="L43" s="76"/>
      <c r="M43" s="76"/>
      <c r="N43" s="76"/>
      <c r="O43" s="76"/>
      <c r="P43" s="76"/>
      <c r="Q43" s="76"/>
      <c r="R43" s="77" t="str">
        <f t="shared" si="1"/>
        <v>није излазио/ла</v>
      </c>
      <c r="S43" s="78" t="str">
        <f t="shared" si="2"/>
        <v>нема услов</v>
      </c>
      <c r="T43" s="79" t="str">
        <f t="shared" si="3"/>
        <v>нема услов</v>
      </c>
      <c r="U43" s="80">
        <f t="shared" si="4"/>
        <v>0</v>
      </c>
      <c r="V43" s="81" t="s">
        <v>67</v>
      </c>
      <c r="W43" s="82"/>
      <c r="X43" s="82"/>
      <c r="Y43" s="82"/>
      <c r="Z43" s="82"/>
      <c r="AA43" s="82"/>
      <c r="AB43" s="82"/>
      <c r="AC43" s="3"/>
      <c r="AD43" s="3"/>
      <c r="AE43" s="3"/>
    </row>
    <row r="44" spans="1:31" ht="15" customHeight="1" x14ac:dyDescent="0.2">
      <c r="A44" s="65">
        <v>32</v>
      </c>
      <c r="B44" s="66" t="s">
        <v>143</v>
      </c>
      <c r="C44" s="68" t="s">
        <v>144</v>
      </c>
      <c r="D44" s="70" t="str">
        <f>VLOOKUP(B44,Присуство!$A$1:$R$96,17,FALSE)</f>
        <v>нема услов</v>
      </c>
      <c r="E44" s="71" t="str">
        <f>VLOOKUP(B44,Активност!$A$1:$Q$141,17,FALSE)</f>
        <v>негативно</v>
      </c>
      <c r="F44" s="73"/>
      <c r="G44" s="73"/>
      <c r="H44" s="74">
        <f t="shared" si="0"/>
        <v>0</v>
      </c>
      <c r="I44" s="75"/>
      <c r="J44" s="75"/>
      <c r="K44" s="75"/>
      <c r="L44" s="76"/>
      <c r="M44" s="76"/>
      <c r="N44" s="76"/>
      <c r="O44" s="76"/>
      <c r="P44" s="76"/>
      <c r="Q44" s="76"/>
      <c r="R44" s="77" t="str">
        <f t="shared" si="1"/>
        <v>није излазио/ла</v>
      </c>
      <c r="S44" s="78" t="str">
        <f t="shared" si="2"/>
        <v>нема услов</v>
      </c>
      <c r="T44" s="79" t="str">
        <f t="shared" si="3"/>
        <v>нема услов</v>
      </c>
      <c r="U44" s="80">
        <f t="shared" si="4"/>
        <v>0</v>
      </c>
      <c r="V44" s="81" t="s">
        <v>67</v>
      </c>
      <c r="W44" s="82"/>
      <c r="X44" s="82"/>
      <c r="Y44" s="82"/>
      <c r="Z44" s="82"/>
      <c r="AA44" s="82"/>
      <c r="AB44" s="82"/>
      <c r="AC44" s="3"/>
      <c r="AD44" s="3"/>
      <c r="AE44" s="3"/>
    </row>
    <row r="45" spans="1:31" ht="15" customHeight="1" x14ac:dyDescent="0.2">
      <c r="A45" s="65">
        <v>33</v>
      </c>
      <c r="B45" s="66" t="s">
        <v>153</v>
      </c>
      <c r="C45" s="68" t="s">
        <v>154</v>
      </c>
      <c r="D45" s="70" t="str">
        <f>VLOOKUP(B45,Присуство!$A$1:$R$96,17,FALSE)</f>
        <v>има услов</v>
      </c>
      <c r="E45" s="71" t="str">
        <f>VLOOKUP(B45,Активност!$A$1:$Q$141,17,FALSE)</f>
        <v>негативно</v>
      </c>
      <c r="F45" s="72">
        <v>8.5</v>
      </c>
      <c r="G45" s="73"/>
      <c r="H45" s="74">
        <f t="shared" si="0"/>
        <v>0</v>
      </c>
      <c r="I45" s="75"/>
      <c r="J45" s="75"/>
      <c r="K45" s="75"/>
      <c r="L45" s="76"/>
      <c r="M45" s="76"/>
      <c r="N45" s="76"/>
      <c r="O45" s="76"/>
      <c r="P45" s="76"/>
      <c r="Q45" s="76"/>
      <c r="R45" s="77" t="str">
        <f t="shared" si="1"/>
        <v>није излазио/ла</v>
      </c>
      <c r="S45" s="78" t="str">
        <f t="shared" si="2"/>
        <v>нема услов</v>
      </c>
      <c r="T45" s="79" t="str">
        <f t="shared" si="3"/>
        <v>нема услов</v>
      </c>
      <c r="U45" s="80">
        <f t="shared" si="4"/>
        <v>0</v>
      </c>
      <c r="V45" s="81" t="s">
        <v>67</v>
      </c>
      <c r="W45" s="82"/>
      <c r="X45" s="82"/>
      <c r="Y45" s="82"/>
      <c r="Z45" s="82"/>
      <c r="AA45" s="82"/>
      <c r="AB45" s="82"/>
      <c r="AC45" s="3"/>
      <c r="AD45" s="3"/>
      <c r="AE45" s="3"/>
    </row>
    <row r="46" spans="1:31" ht="15" customHeight="1" x14ac:dyDescent="0.2">
      <c r="A46" s="65">
        <v>34</v>
      </c>
      <c r="B46" s="66" t="s">
        <v>158</v>
      </c>
      <c r="C46" s="68" t="s">
        <v>159</v>
      </c>
      <c r="D46" s="70" t="str">
        <f>VLOOKUP(B46,Присуство!$A$1:$R$96,17,FALSE)</f>
        <v>има услов</v>
      </c>
      <c r="E46" s="71" t="str">
        <f>VLOOKUP(B46,Активност!$A$1:$Q$141,17,FALSE)</f>
        <v>негативно</v>
      </c>
      <c r="F46" s="72">
        <v>10.5</v>
      </c>
      <c r="G46" s="73"/>
      <c r="H46" s="74">
        <f t="shared" si="0"/>
        <v>10.5</v>
      </c>
      <c r="I46" s="75"/>
      <c r="J46" s="75"/>
      <c r="K46" s="75"/>
      <c r="L46" s="76"/>
      <c r="M46" s="76"/>
      <c r="N46" s="76"/>
      <c r="O46" s="76"/>
      <c r="P46" s="76"/>
      <c r="Q46" s="76"/>
      <c r="R46" s="77" t="str">
        <f t="shared" si="1"/>
        <v>није излазио/ла</v>
      </c>
      <c r="S46" s="78" t="str">
        <f t="shared" si="2"/>
        <v>нема услов</v>
      </c>
      <c r="T46" s="79" t="str">
        <f t="shared" si="3"/>
        <v>нема услов</v>
      </c>
      <c r="U46" s="80">
        <f t="shared" si="4"/>
        <v>0</v>
      </c>
      <c r="V46" s="81" t="s">
        <v>67</v>
      </c>
      <c r="W46" s="82"/>
      <c r="X46" s="82"/>
      <c r="Y46" s="82"/>
      <c r="Z46" s="82"/>
      <c r="AA46" s="82"/>
      <c r="AB46" s="82"/>
      <c r="AC46" s="3"/>
      <c r="AD46" s="3"/>
      <c r="AE46" s="3"/>
    </row>
    <row r="47" spans="1:31" ht="15" customHeight="1" x14ac:dyDescent="0.2">
      <c r="A47" s="65">
        <v>35</v>
      </c>
      <c r="B47" s="66" t="s">
        <v>160</v>
      </c>
      <c r="C47" s="68" t="s">
        <v>161</v>
      </c>
      <c r="D47" s="70" t="str">
        <f>VLOOKUP(B47,Присуство!$A$1:$R$96,17,FALSE)</f>
        <v>има услов</v>
      </c>
      <c r="E47" s="71" t="str">
        <f>VLOOKUP(B47,Активност!$A$1:$Q$141,17,FALSE)</f>
        <v>негативно</v>
      </c>
      <c r="F47" s="73">
        <v>14.5</v>
      </c>
      <c r="G47" s="73"/>
      <c r="H47" s="74">
        <f t="shared" si="0"/>
        <v>14.5</v>
      </c>
      <c r="I47" s="75"/>
      <c r="J47" s="75"/>
      <c r="K47" s="75"/>
      <c r="L47" s="76"/>
      <c r="M47" s="76"/>
      <c r="N47" s="76"/>
      <c r="O47" s="76"/>
      <c r="P47" s="76"/>
      <c r="Q47" s="76"/>
      <c r="R47" s="77" t="str">
        <f t="shared" si="1"/>
        <v>није излазио/ла</v>
      </c>
      <c r="S47" s="78" t="str">
        <f t="shared" si="2"/>
        <v>нема услов</v>
      </c>
      <c r="T47" s="79" t="str">
        <f t="shared" si="3"/>
        <v>нема услов</v>
      </c>
      <c r="U47" s="80">
        <f t="shared" si="4"/>
        <v>0</v>
      </c>
      <c r="V47" s="81" t="s">
        <v>67</v>
      </c>
      <c r="W47" s="82"/>
      <c r="X47" s="82"/>
      <c r="Y47" s="82"/>
      <c r="Z47" s="82"/>
      <c r="AA47" s="82"/>
      <c r="AB47" s="82"/>
      <c r="AC47" s="3"/>
      <c r="AD47" s="3"/>
      <c r="AE47" s="3"/>
    </row>
    <row r="48" spans="1:31" ht="15" customHeight="1" x14ac:dyDescent="0.2">
      <c r="A48" s="65">
        <v>36</v>
      </c>
      <c r="B48" s="66" t="s">
        <v>177</v>
      </c>
      <c r="C48" s="68" t="s">
        <v>162</v>
      </c>
      <c r="D48" s="70" t="str">
        <f>VLOOKUP(B48,Присуство!$A$1:$R$96,17,FALSE)</f>
        <v>има услов</v>
      </c>
      <c r="E48" s="71" t="str">
        <f>VLOOKUP(B48,Активност!$A$1:$Q$141,17,FALSE)</f>
        <v>негативно</v>
      </c>
      <c r="F48" s="73">
        <v>9</v>
      </c>
      <c r="G48" s="73"/>
      <c r="H48" s="74">
        <f t="shared" si="0"/>
        <v>0</v>
      </c>
      <c r="I48" s="75"/>
      <c r="J48" s="75"/>
      <c r="K48" s="75"/>
      <c r="L48" s="76"/>
      <c r="M48" s="76"/>
      <c r="N48" s="76"/>
      <c r="O48" s="76"/>
      <c r="P48" s="76"/>
      <c r="Q48" s="76"/>
      <c r="R48" s="77" t="str">
        <f t="shared" si="1"/>
        <v>није излазио/ла</v>
      </c>
      <c r="S48" s="78" t="str">
        <f t="shared" si="2"/>
        <v>нема услов</v>
      </c>
      <c r="T48" s="79" t="str">
        <f t="shared" si="3"/>
        <v>нема услов</v>
      </c>
      <c r="U48" s="80">
        <f t="shared" si="4"/>
        <v>0</v>
      </c>
      <c r="V48" s="81" t="s">
        <v>67</v>
      </c>
      <c r="W48" s="82"/>
      <c r="X48" s="82"/>
      <c r="Y48" s="82"/>
      <c r="Z48" s="82"/>
      <c r="AA48" s="82"/>
      <c r="AB48" s="82"/>
      <c r="AC48" s="3"/>
      <c r="AD48" s="3"/>
      <c r="AE48" s="3"/>
    </row>
    <row r="49" spans="1:31" ht="15" customHeight="1" x14ac:dyDescent="0.2">
      <c r="A49" s="65">
        <v>37</v>
      </c>
      <c r="B49" s="66" t="s">
        <v>182</v>
      </c>
      <c r="C49" s="68" t="s">
        <v>163</v>
      </c>
      <c r="D49" s="70" t="str">
        <f>VLOOKUP(B49,Присуство!$A$1:$R$96,17,FALSE)</f>
        <v>има услов</v>
      </c>
      <c r="E49" s="71" t="str">
        <f>VLOOKUP(B49,Активност!$A$1:$Q$141,17,FALSE)</f>
        <v>негативно</v>
      </c>
      <c r="F49" s="73">
        <v>0</v>
      </c>
      <c r="G49" s="73"/>
      <c r="H49" s="74">
        <f t="shared" si="0"/>
        <v>0</v>
      </c>
      <c r="I49" s="75"/>
      <c r="J49" s="75"/>
      <c r="K49" s="75"/>
      <c r="L49" s="76"/>
      <c r="M49" s="76"/>
      <c r="N49" s="76"/>
      <c r="O49" s="76"/>
      <c r="P49" s="76"/>
      <c r="Q49" s="76"/>
      <c r="R49" s="77" t="str">
        <f t="shared" si="1"/>
        <v>није излазио/ла</v>
      </c>
      <c r="S49" s="78" t="str">
        <f t="shared" si="2"/>
        <v>нема услов</v>
      </c>
      <c r="T49" s="79" t="str">
        <f t="shared" si="3"/>
        <v>нема услов</v>
      </c>
      <c r="U49" s="80">
        <f t="shared" si="4"/>
        <v>0</v>
      </c>
      <c r="V49" s="81" t="s">
        <v>67</v>
      </c>
      <c r="W49" s="82"/>
      <c r="X49" s="82"/>
      <c r="Y49" s="82"/>
      <c r="Z49" s="82"/>
      <c r="AA49" s="82"/>
      <c r="AB49" s="82"/>
      <c r="AC49" s="3"/>
      <c r="AD49" s="3"/>
      <c r="AE49" s="3"/>
    </row>
    <row r="50" spans="1:31" ht="15" customHeight="1" x14ac:dyDescent="0.2">
      <c r="A50" s="65">
        <v>38</v>
      </c>
      <c r="B50" s="66" t="s">
        <v>183</v>
      </c>
      <c r="C50" s="68" t="s">
        <v>164</v>
      </c>
      <c r="D50" s="70" t="str">
        <f>VLOOKUP(B50,Присуство!$A$1:$R$96,17,FALSE)</f>
        <v>има услов</v>
      </c>
      <c r="E50" s="71" t="str">
        <f>VLOOKUP(B50,Активност!$A$1:$Q$141,17,FALSE)</f>
        <v>негативно</v>
      </c>
      <c r="F50" s="73">
        <v>3</v>
      </c>
      <c r="G50" s="73"/>
      <c r="H50" s="74">
        <f t="shared" si="0"/>
        <v>0</v>
      </c>
      <c r="I50" s="75"/>
      <c r="J50" s="75"/>
      <c r="K50" s="75"/>
      <c r="L50" s="76"/>
      <c r="M50" s="76"/>
      <c r="N50" s="76"/>
      <c r="O50" s="76"/>
      <c r="P50" s="76"/>
      <c r="Q50" s="76"/>
      <c r="R50" s="77" t="str">
        <f t="shared" si="1"/>
        <v>није излазио/ла</v>
      </c>
      <c r="S50" s="78" t="str">
        <f t="shared" si="2"/>
        <v>нема услов</v>
      </c>
      <c r="T50" s="79" t="str">
        <f t="shared" si="3"/>
        <v>нема услов</v>
      </c>
      <c r="U50" s="80">
        <f t="shared" si="4"/>
        <v>0</v>
      </c>
      <c r="V50" s="81" t="s">
        <v>67</v>
      </c>
      <c r="W50" s="82"/>
      <c r="X50" s="82"/>
      <c r="Y50" s="82"/>
      <c r="Z50" s="82"/>
      <c r="AA50" s="82"/>
      <c r="AB50" s="82"/>
      <c r="AC50" s="3"/>
      <c r="AD50" s="3"/>
      <c r="AE50" s="3"/>
    </row>
    <row r="51" spans="1:31" ht="15" customHeight="1" x14ac:dyDescent="0.2">
      <c r="A51" s="65">
        <v>39</v>
      </c>
      <c r="B51" s="66" t="s">
        <v>186</v>
      </c>
      <c r="C51" s="68" t="s">
        <v>165</v>
      </c>
      <c r="D51" s="70" t="str">
        <f>VLOOKUP(B51,Присуство!$A$1:$R$96,17,FALSE)</f>
        <v>нема услов</v>
      </c>
      <c r="E51" s="71" t="str">
        <f>VLOOKUP(B51,Активност!$A$1:$Q$141,17,FALSE)</f>
        <v>негативно</v>
      </c>
      <c r="F51" s="73"/>
      <c r="G51" s="73"/>
      <c r="H51" s="74">
        <f t="shared" si="0"/>
        <v>0</v>
      </c>
      <c r="I51" s="75"/>
      <c r="J51" s="75"/>
      <c r="K51" s="75"/>
      <c r="L51" s="76"/>
      <c r="M51" s="76"/>
      <c r="N51" s="76"/>
      <c r="O51" s="76"/>
      <c r="P51" s="76"/>
      <c r="Q51" s="76"/>
      <c r="R51" s="77" t="str">
        <f t="shared" si="1"/>
        <v>није излазио/ла</v>
      </c>
      <c r="S51" s="78" t="str">
        <f t="shared" si="2"/>
        <v>нема услов</v>
      </c>
      <c r="T51" s="79" t="str">
        <f t="shared" si="3"/>
        <v>нема услов</v>
      </c>
      <c r="U51" s="80">
        <f t="shared" si="4"/>
        <v>0</v>
      </c>
      <c r="V51" s="81" t="s">
        <v>67</v>
      </c>
      <c r="W51" s="82"/>
      <c r="X51" s="82"/>
      <c r="Y51" s="82"/>
      <c r="Z51" s="82"/>
      <c r="AA51" s="82"/>
      <c r="AB51" s="82"/>
      <c r="AC51" s="3"/>
      <c r="AD51" s="3"/>
      <c r="AE51" s="3"/>
    </row>
    <row r="52" spans="1:31" ht="15" customHeight="1" x14ac:dyDescent="0.2">
      <c r="A52" s="65">
        <v>40</v>
      </c>
      <c r="B52" s="66" t="s">
        <v>193</v>
      </c>
      <c r="C52" s="68" t="s">
        <v>166</v>
      </c>
      <c r="D52" s="70" t="str">
        <f>VLOOKUP(B52,Присуство!$A$1:$R$96,17,FALSE)</f>
        <v>нема услов</v>
      </c>
      <c r="E52" s="71" t="str">
        <f>VLOOKUP(B52,Активност!$A$1:$Q$141,17,FALSE)</f>
        <v>негативно</v>
      </c>
      <c r="F52" s="73"/>
      <c r="G52" s="73"/>
      <c r="H52" s="74">
        <f t="shared" si="0"/>
        <v>0</v>
      </c>
      <c r="I52" s="75"/>
      <c r="J52" s="75"/>
      <c r="K52" s="75"/>
      <c r="L52" s="76"/>
      <c r="M52" s="76"/>
      <c r="N52" s="76"/>
      <c r="O52" s="76"/>
      <c r="P52" s="76"/>
      <c r="Q52" s="76"/>
      <c r="R52" s="77" t="str">
        <f t="shared" si="1"/>
        <v>није излазио/ла</v>
      </c>
      <c r="S52" s="78" t="str">
        <f t="shared" si="2"/>
        <v>нема услов</v>
      </c>
      <c r="T52" s="79" t="str">
        <f t="shared" si="3"/>
        <v>нема услов</v>
      </c>
      <c r="U52" s="80">
        <f t="shared" si="4"/>
        <v>0</v>
      </c>
      <c r="V52" s="81" t="s">
        <v>67</v>
      </c>
      <c r="W52" s="82"/>
      <c r="X52" s="82"/>
      <c r="Y52" s="82"/>
      <c r="Z52" s="82"/>
      <c r="AA52" s="82"/>
      <c r="AB52" s="82"/>
      <c r="AC52" s="3"/>
      <c r="AD52" s="3"/>
      <c r="AE52" s="3"/>
    </row>
    <row r="53" spans="1:31" ht="15" customHeight="1" x14ac:dyDescent="0.2">
      <c r="A53" s="65">
        <v>41</v>
      </c>
      <c r="B53" s="66" t="s">
        <v>205</v>
      </c>
      <c r="C53" s="68" t="s">
        <v>167</v>
      </c>
      <c r="D53" s="70" t="str">
        <f>VLOOKUP(B53,Присуство!$A$1:$R$96,17,FALSE)</f>
        <v>има услов</v>
      </c>
      <c r="E53" s="71" t="str">
        <f>VLOOKUP(B53,Активност!$A$1:$Q$141,17,FALSE)</f>
        <v>негативно</v>
      </c>
      <c r="F53" s="73">
        <v>15</v>
      </c>
      <c r="G53" s="73"/>
      <c r="H53" s="74">
        <f t="shared" si="0"/>
        <v>15</v>
      </c>
      <c r="I53" s="75"/>
      <c r="J53" s="75"/>
      <c r="K53" s="75"/>
      <c r="L53" s="76"/>
      <c r="M53" s="76"/>
      <c r="N53" s="76"/>
      <c r="O53" s="76"/>
      <c r="P53" s="76"/>
      <c r="Q53" s="76"/>
      <c r="R53" s="77" t="str">
        <f t="shared" si="1"/>
        <v>није излазио/ла</v>
      </c>
      <c r="S53" s="78" t="str">
        <f t="shared" si="2"/>
        <v>нема услов</v>
      </c>
      <c r="T53" s="79" t="str">
        <f t="shared" si="3"/>
        <v>нема услов</v>
      </c>
      <c r="U53" s="80">
        <f t="shared" si="4"/>
        <v>0</v>
      </c>
      <c r="V53" s="81" t="s">
        <v>67</v>
      </c>
      <c r="W53" s="82"/>
      <c r="X53" s="82"/>
      <c r="Y53" s="82"/>
      <c r="Z53" s="82"/>
      <c r="AA53" s="82"/>
      <c r="AB53" s="82"/>
      <c r="AC53" s="3"/>
      <c r="AD53" s="3"/>
      <c r="AE53" s="3"/>
    </row>
    <row r="54" spans="1:31" ht="15" customHeight="1" x14ac:dyDescent="0.2">
      <c r="A54" s="65">
        <v>42</v>
      </c>
      <c r="B54" s="66" t="s">
        <v>207</v>
      </c>
      <c r="C54" s="68" t="s">
        <v>168</v>
      </c>
      <c r="D54" s="70" t="str">
        <f>VLOOKUP(B54,Присуство!$A$1:$R$96,17,FALSE)</f>
        <v>има услов</v>
      </c>
      <c r="E54" s="71" t="str">
        <f>VLOOKUP(B54,Активност!$A$1:$Q$141,17,FALSE)</f>
        <v>негативно</v>
      </c>
      <c r="F54" s="73">
        <v>8</v>
      </c>
      <c r="G54" s="73"/>
      <c r="H54" s="74">
        <f t="shared" si="0"/>
        <v>0</v>
      </c>
      <c r="I54" s="75"/>
      <c r="J54" s="75"/>
      <c r="K54" s="75"/>
      <c r="L54" s="76"/>
      <c r="M54" s="76"/>
      <c r="N54" s="76"/>
      <c r="O54" s="76"/>
      <c r="P54" s="76"/>
      <c r="Q54" s="76"/>
      <c r="R54" s="77" t="str">
        <f t="shared" si="1"/>
        <v>није излазио/ла</v>
      </c>
      <c r="S54" s="78" t="str">
        <f t="shared" si="2"/>
        <v>нема услов</v>
      </c>
      <c r="T54" s="79" t="str">
        <f t="shared" si="3"/>
        <v>нема услов</v>
      </c>
      <c r="U54" s="80">
        <f t="shared" si="4"/>
        <v>0</v>
      </c>
      <c r="V54" s="81" t="s">
        <v>67</v>
      </c>
      <c r="W54" s="82"/>
      <c r="X54" s="82"/>
      <c r="Y54" s="82"/>
      <c r="Z54" s="82"/>
      <c r="AA54" s="82"/>
      <c r="AB54" s="82"/>
      <c r="AC54" s="3"/>
      <c r="AD54" s="3"/>
      <c r="AE54" s="3"/>
    </row>
    <row r="55" spans="1:31" ht="15" customHeight="1" x14ac:dyDescent="0.2">
      <c r="A55" s="65">
        <v>43</v>
      </c>
      <c r="B55" s="66" t="s">
        <v>209</v>
      </c>
      <c r="C55" s="68" t="s">
        <v>169</v>
      </c>
      <c r="D55" s="70" t="str">
        <f>VLOOKUP(B55,Присуство!$A$1:$R$96,17,FALSE)</f>
        <v>има услов</v>
      </c>
      <c r="E55" s="71" t="str">
        <f>VLOOKUP(B55,Активност!$A$1:$Q$141,17,FALSE)</f>
        <v>негативно</v>
      </c>
      <c r="F55" s="73">
        <v>9</v>
      </c>
      <c r="G55" s="73"/>
      <c r="H55" s="74">
        <f t="shared" si="0"/>
        <v>0</v>
      </c>
      <c r="I55" s="75"/>
      <c r="J55" s="75"/>
      <c r="K55" s="75"/>
      <c r="L55" s="76"/>
      <c r="M55" s="76"/>
      <c r="N55" s="76"/>
      <c r="O55" s="76"/>
      <c r="P55" s="76"/>
      <c r="Q55" s="76"/>
      <c r="R55" s="77" t="str">
        <f t="shared" si="1"/>
        <v>није излазио/ла</v>
      </c>
      <c r="S55" s="78" t="str">
        <f t="shared" si="2"/>
        <v>нема услов</v>
      </c>
      <c r="T55" s="79" t="str">
        <f t="shared" si="3"/>
        <v>нема услов</v>
      </c>
      <c r="U55" s="80">
        <f t="shared" si="4"/>
        <v>0</v>
      </c>
      <c r="V55" s="81" t="s">
        <v>67</v>
      </c>
      <c r="W55" s="82"/>
      <c r="X55" s="82"/>
      <c r="Y55" s="82"/>
      <c r="Z55" s="82"/>
      <c r="AA55" s="82"/>
      <c r="AB55" s="82"/>
      <c r="AC55" s="3"/>
      <c r="AD55" s="3"/>
      <c r="AE55" s="3"/>
    </row>
    <row r="56" spans="1:31" ht="15" customHeight="1" x14ac:dyDescent="0.2">
      <c r="A56" s="65">
        <v>44</v>
      </c>
      <c r="B56" s="66" t="s">
        <v>210</v>
      </c>
      <c r="C56" s="68" t="s">
        <v>170</v>
      </c>
      <c r="D56" s="70" t="str">
        <f>VLOOKUP(B56,Присуство!$A$1:$R$96,17,FALSE)</f>
        <v>има услов</v>
      </c>
      <c r="E56" s="71" t="str">
        <f>VLOOKUP(B56,Активност!$A$1:$Q$141,17,FALSE)</f>
        <v>негативно</v>
      </c>
      <c r="F56" s="73">
        <v>0</v>
      </c>
      <c r="G56" s="73"/>
      <c r="H56" s="74">
        <f t="shared" si="0"/>
        <v>0</v>
      </c>
      <c r="I56" s="75"/>
      <c r="J56" s="75"/>
      <c r="K56" s="75"/>
      <c r="L56" s="76"/>
      <c r="M56" s="76"/>
      <c r="N56" s="76"/>
      <c r="O56" s="76"/>
      <c r="P56" s="76"/>
      <c r="Q56" s="76"/>
      <c r="R56" s="77" t="str">
        <f t="shared" si="1"/>
        <v>није излазио/ла</v>
      </c>
      <c r="S56" s="78" t="str">
        <f t="shared" si="2"/>
        <v>нема услов</v>
      </c>
      <c r="T56" s="79" t="str">
        <f t="shared" si="3"/>
        <v>нема услов</v>
      </c>
      <c r="U56" s="80">
        <f t="shared" si="4"/>
        <v>0</v>
      </c>
      <c r="V56" s="81" t="s">
        <v>67</v>
      </c>
      <c r="W56" s="82"/>
      <c r="X56" s="82"/>
      <c r="Y56" s="82"/>
      <c r="Z56" s="82"/>
      <c r="AA56" s="82"/>
      <c r="AB56" s="82"/>
      <c r="AC56" s="3"/>
      <c r="AD56" s="3"/>
      <c r="AE56" s="3"/>
    </row>
    <row r="57" spans="1:31" ht="15" customHeight="1" x14ac:dyDescent="0.2">
      <c r="A57" s="65">
        <v>45</v>
      </c>
      <c r="B57" s="66" t="s">
        <v>211</v>
      </c>
      <c r="C57" s="68" t="s">
        <v>171</v>
      </c>
      <c r="D57" s="70" t="str">
        <f>VLOOKUP(B57,Присуство!$A$1:$R$96,17,FALSE)</f>
        <v>има услов</v>
      </c>
      <c r="E57" s="71" t="str">
        <f>VLOOKUP(B57,Активност!$A$1:$Q$141,17,FALSE)</f>
        <v>негативно</v>
      </c>
      <c r="F57" s="73">
        <v>13</v>
      </c>
      <c r="G57" s="73"/>
      <c r="H57" s="74">
        <f t="shared" si="0"/>
        <v>13</v>
      </c>
      <c r="I57" s="75"/>
      <c r="J57" s="75"/>
      <c r="K57" s="75"/>
      <c r="L57" s="76"/>
      <c r="M57" s="76"/>
      <c r="N57" s="76"/>
      <c r="O57" s="76"/>
      <c r="P57" s="76"/>
      <c r="Q57" s="76"/>
      <c r="R57" s="77" t="str">
        <f t="shared" si="1"/>
        <v>није излазио/ла</v>
      </c>
      <c r="S57" s="78" t="str">
        <f t="shared" si="2"/>
        <v>нема услов</v>
      </c>
      <c r="T57" s="79" t="str">
        <f t="shared" si="3"/>
        <v>нема услов</v>
      </c>
      <c r="U57" s="80">
        <f t="shared" si="4"/>
        <v>0</v>
      </c>
      <c r="V57" s="81" t="s">
        <v>67</v>
      </c>
      <c r="W57" s="82"/>
      <c r="X57" s="82"/>
      <c r="Y57" s="82"/>
      <c r="Z57" s="82"/>
      <c r="AA57" s="82"/>
      <c r="AB57" s="82"/>
      <c r="AC57" s="3"/>
      <c r="AD57" s="3"/>
      <c r="AE57" s="3"/>
    </row>
    <row r="58" spans="1:31" ht="15" customHeight="1" x14ac:dyDescent="0.2">
      <c r="A58" s="65">
        <v>46</v>
      </c>
      <c r="B58" s="66" t="s">
        <v>212</v>
      </c>
      <c r="C58" s="68" t="s">
        <v>172</v>
      </c>
      <c r="D58" s="70" t="str">
        <f>VLOOKUP(B58,Присуство!$A$1:$R$96,17,FALSE)</f>
        <v>нема услов</v>
      </c>
      <c r="E58" s="71" t="str">
        <f>VLOOKUP(B58,Активност!$A$1:$Q$141,17,FALSE)</f>
        <v>негативно</v>
      </c>
      <c r="F58" s="73"/>
      <c r="G58" s="73"/>
      <c r="H58" s="74">
        <f t="shared" si="0"/>
        <v>0</v>
      </c>
      <c r="I58" s="75"/>
      <c r="J58" s="75"/>
      <c r="K58" s="75"/>
      <c r="L58" s="76"/>
      <c r="M58" s="76"/>
      <c r="N58" s="76"/>
      <c r="O58" s="76"/>
      <c r="P58" s="76"/>
      <c r="Q58" s="76"/>
      <c r="R58" s="77" t="str">
        <f t="shared" si="1"/>
        <v>није излазио/ла</v>
      </c>
      <c r="S58" s="78" t="str">
        <f t="shared" si="2"/>
        <v>нема услов</v>
      </c>
      <c r="T58" s="79" t="str">
        <f t="shared" si="3"/>
        <v>нема услов</v>
      </c>
      <c r="U58" s="80">
        <f t="shared" si="4"/>
        <v>0</v>
      </c>
      <c r="V58" s="81" t="s">
        <v>67</v>
      </c>
      <c r="W58" s="82"/>
      <c r="X58" s="82"/>
      <c r="Y58" s="82"/>
      <c r="Z58" s="82"/>
      <c r="AA58" s="82"/>
      <c r="AB58" s="82"/>
      <c r="AC58" s="3"/>
      <c r="AD58" s="3"/>
      <c r="AE58" s="3"/>
    </row>
    <row r="59" spans="1:31" ht="15" customHeight="1" x14ac:dyDescent="0.2">
      <c r="A59" s="65">
        <v>47</v>
      </c>
      <c r="B59" s="66" t="s">
        <v>213</v>
      </c>
      <c r="C59" s="68" t="s">
        <v>173</v>
      </c>
      <c r="D59" s="70" t="str">
        <f>VLOOKUP(B59,Присуство!$A$1:$R$96,17,FALSE)</f>
        <v>има услов</v>
      </c>
      <c r="E59" s="71" t="str">
        <f>VLOOKUP(B59,Активност!$A$1:$Q$141,17,FALSE)</f>
        <v>негативно</v>
      </c>
      <c r="F59" s="73"/>
      <c r="G59" s="73"/>
      <c r="H59" s="74">
        <f t="shared" si="0"/>
        <v>0</v>
      </c>
      <c r="I59" s="75"/>
      <c r="J59" s="75"/>
      <c r="K59" s="75"/>
      <c r="L59" s="76"/>
      <c r="M59" s="76"/>
      <c r="N59" s="76"/>
      <c r="O59" s="76"/>
      <c r="P59" s="76"/>
      <c r="Q59" s="76"/>
      <c r="R59" s="77" t="str">
        <f t="shared" si="1"/>
        <v>није излазио/ла</v>
      </c>
      <c r="S59" s="78" t="str">
        <f t="shared" si="2"/>
        <v>нема услов</v>
      </c>
      <c r="T59" s="79" t="str">
        <f t="shared" si="3"/>
        <v>нема услов</v>
      </c>
      <c r="U59" s="80">
        <f t="shared" si="4"/>
        <v>0</v>
      </c>
      <c r="V59" s="81" t="s">
        <v>67</v>
      </c>
      <c r="W59" s="82"/>
      <c r="X59" s="82"/>
      <c r="Y59" s="82"/>
      <c r="Z59" s="82"/>
      <c r="AA59" s="82"/>
      <c r="AB59" s="82"/>
      <c r="AC59" s="3"/>
      <c r="AD59" s="3"/>
      <c r="AE59" s="3"/>
    </row>
    <row r="60" spans="1:31" ht="15" customHeight="1" x14ac:dyDescent="0.2">
      <c r="A60" s="65">
        <v>48</v>
      </c>
      <c r="B60" s="66" t="s">
        <v>214</v>
      </c>
      <c r="C60" s="116" t="s">
        <v>174</v>
      </c>
      <c r="D60" s="70" t="str">
        <f>VLOOKUP(B60,Присуство!$A$1:$R$96,17,FALSE)</f>
        <v>нема услов</v>
      </c>
      <c r="E60" s="71" t="str">
        <f>VLOOKUP(B60,Активност!$A$1:$Q$141,17,FALSE)</f>
        <v>негативно</v>
      </c>
      <c r="F60" s="73"/>
      <c r="G60" s="73"/>
      <c r="H60" s="74">
        <f t="shared" si="0"/>
        <v>0</v>
      </c>
      <c r="I60" s="75"/>
      <c r="J60" s="75"/>
      <c r="K60" s="75"/>
      <c r="L60" s="76"/>
      <c r="M60" s="76"/>
      <c r="N60" s="76"/>
      <c r="O60" s="76"/>
      <c r="P60" s="76"/>
      <c r="Q60" s="76"/>
      <c r="R60" s="77" t="str">
        <f t="shared" si="1"/>
        <v>није излазио/ла</v>
      </c>
      <c r="S60" s="78" t="str">
        <f t="shared" si="2"/>
        <v>нема услов</v>
      </c>
      <c r="T60" s="79" t="str">
        <f t="shared" si="3"/>
        <v>нема услов</v>
      </c>
      <c r="U60" s="80">
        <f t="shared" si="4"/>
        <v>0</v>
      </c>
      <c r="V60" s="81" t="s">
        <v>67</v>
      </c>
      <c r="W60" s="83" t="s">
        <v>216</v>
      </c>
      <c r="X60" s="82"/>
      <c r="Y60" s="82"/>
      <c r="Z60" s="82"/>
      <c r="AA60" s="82"/>
      <c r="AB60" s="82"/>
      <c r="AC60" s="3"/>
      <c r="AD60" s="3"/>
      <c r="AE60" s="3"/>
    </row>
    <row r="61" spans="1:31" ht="15" customHeight="1" x14ac:dyDescent="0.2">
      <c r="A61" s="65">
        <v>49</v>
      </c>
      <c r="B61" s="66" t="s">
        <v>215</v>
      </c>
      <c r="C61" s="116" t="s">
        <v>175</v>
      </c>
      <c r="D61" s="70" t="str">
        <f>VLOOKUP(B61,Присуство!$A$1:$R$96,17,FALSE)</f>
        <v>нема услов</v>
      </c>
      <c r="E61" s="71" t="str">
        <f>VLOOKUP(B61,Активност!$A$1:$Q$141,17,FALSE)</f>
        <v>негативно</v>
      </c>
      <c r="F61" s="73"/>
      <c r="G61" s="73"/>
      <c r="H61" s="74">
        <f t="shared" si="0"/>
        <v>0</v>
      </c>
      <c r="I61" s="75"/>
      <c r="J61" s="75"/>
      <c r="K61" s="75"/>
      <c r="L61" s="76"/>
      <c r="M61" s="76"/>
      <c r="N61" s="76"/>
      <c r="O61" s="76"/>
      <c r="P61" s="76"/>
      <c r="Q61" s="76"/>
      <c r="R61" s="77" t="str">
        <f t="shared" si="1"/>
        <v>није излазио/ла</v>
      </c>
      <c r="S61" s="78" t="str">
        <f t="shared" si="2"/>
        <v>нема услов</v>
      </c>
      <c r="T61" s="79" t="str">
        <f t="shared" si="3"/>
        <v>нема услов</v>
      </c>
      <c r="U61" s="80">
        <f t="shared" si="4"/>
        <v>0</v>
      </c>
      <c r="V61" s="81" t="s">
        <v>67</v>
      </c>
      <c r="W61" s="83" t="s">
        <v>216</v>
      </c>
      <c r="X61" s="82"/>
      <c r="Y61" s="82"/>
      <c r="Z61" s="82"/>
      <c r="AA61" s="82"/>
      <c r="AB61" s="82"/>
      <c r="AC61" s="3"/>
      <c r="AD61" s="3"/>
      <c r="AE61" s="3"/>
    </row>
    <row r="62" spans="1:31" ht="15" customHeight="1" x14ac:dyDescent="0.2">
      <c r="A62" s="65">
        <v>50</v>
      </c>
      <c r="B62" s="66" t="s">
        <v>217</v>
      </c>
      <c r="C62" s="68" t="s">
        <v>176</v>
      </c>
      <c r="D62" s="70" t="str">
        <f>VLOOKUP(B62,Присуство!$A$1:$R$96,17,FALSE)</f>
        <v>има услов</v>
      </c>
      <c r="E62" s="71" t="str">
        <f>VLOOKUP(B62,Активност!$A$1:$Q$141,17,FALSE)</f>
        <v>негативно</v>
      </c>
      <c r="F62" s="72">
        <v>10.5</v>
      </c>
      <c r="G62" s="73"/>
      <c r="H62" s="140">
        <f t="shared" si="0"/>
        <v>10.5</v>
      </c>
      <c r="I62" s="142"/>
      <c r="J62" s="143"/>
      <c r="K62" s="143"/>
      <c r="L62" s="143"/>
      <c r="M62" s="143"/>
      <c r="N62" s="143"/>
      <c r="O62" s="143"/>
      <c r="P62" s="143"/>
      <c r="Q62" s="143"/>
      <c r="R62" s="77" t="str">
        <f t="shared" si="1"/>
        <v>није излазио/ла</v>
      </c>
      <c r="S62" s="78" t="str">
        <f t="shared" si="2"/>
        <v>нема услов</v>
      </c>
      <c r="T62" s="145" t="str">
        <f t="shared" si="3"/>
        <v>нема услов</v>
      </c>
      <c r="U62" s="147">
        <f t="shared" si="4"/>
        <v>0</v>
      </c>
      <c r="V62" s="148" t="s">
        <v>222</v>
      </c>
      <c r="W62" s="82"/>
      <c r="X62" s="82"/>
      <c r="Y62" s="82"/>
      <c r="Z62" s="82"/>
      <c r="AA62" s="82"/>
      <c r="AB62" s="82"/>
      <c r="AC62" s="3"/>
      <c r="AD62" s="3"/>
      <c r="AE62" s="3"/>
    </row>
    <row r="63" spans="1:31" ht="15" customHeight="1" x14ac:dyDescent="0.2">
      <c r="A63" s="65">
        <v>51</v>
      </c>
      <c r="B63" s="137" t="s">
        <v>220</v>
      </c>
      <c r="C63" s="138" t="s">
        <v>223</v>
      </c>
      <c r="D63" s="70" t="str">
        <f>VLOOKUP(B63,Присуство!$A$1:$R$96,17,FALSE)</f>
        <v>има услов</v>
      </c>
      <c r="E63" s="71" t="str">
        <f>VLOOKUP(B63,Активност!$A$1:$Q$141,17,FALSE)</f>
        <v>негативно</v>
      </c>
      <c r="F63" s="73">
        <v>17</v>
      </c>
      <c r="G63" s="73"/>
      <c r="H63" s="140">
        <f t="shared" si="0"/>
        <v>17</v>
      </c>
      <c r="I63" s="151"/>
      <c r="J63" s="152"/>
      <c r="K63" s="152"/>
      <c r="L63" s="152"/>
      <c r="M63" s="152"/>
      <c r="N63" s="152"/>
      <c r="O63" s="152"/>
      <c r="P63" s="152"/>
      <c r="Q63" s="152"/>
      <c r="R63" s="77" t="str">
        <f t="shared" si="1"/>
        <v>није излазио/ла</v>
      </c>
      <c r="S63" s="78" t="str">
        <f t="shared" si="2"/>
        <v>нема услов</v>
      </c>
      <c r="T63" s="145" t="str">
        <f t="shared" si="3"/>
        <v>нема услов</v>
      </c>
      <c r="U63" s="147">
        <f t="shared" si="4"/>
        <v>0</v>
      </c>
      <c r="V63" s="148" t="s">
        <v>222</v>
      </c>
      <c r="W63" s="82"/>
      <c r="X63" s="82"/>
      <c r="Y63" s="82"/>
      <c r="Z63" s="82"/>
      <c r="AA63" s="82"/>
      <c r="AB63" s="82"/>
      <c r="AC63" s="3"/>
      <c r="AD63" s="3"/>
      <c r="AE63" s="3"/>
    </row>
    <row r="64" spans="1:31" ht="15" customHeight="1" x14ac:dyDescent="0.2">
      <c r="A64" s="65">
        <v>52</v>
      </c>
      <c r="B64" s="132" t="s">
        <v>218</v>
      </c>
      <c r="C64" s="133" t="s">
        <v>178</v>
      </c>
      <c r="D64" s="70" t="str">
        <f>VLOOKUP(B64,Присуство!$A$1:$R$96,17,FALSE)</f>
        <v>нема услов</v>
      </c>
      <c r="E64" s="71" t="str">
        <f>VLOOKUP(B64,Активност!$A$1:$Q$141,17,FALSE)</f>
        <v>негативно</v>
      </c>
      <c r="F64" s="73"/>
      <c r="G64" s="73"/>
      <c r="H64" s="74">
        <f t="shared" si="0"/>
        <v>0</v>
      </c>
      <c r="I64" s="75"/>
      <c r="J64" s="76"/>
      <c r="K64" s="76"/>
      <c r="L64" s="76"/>
      <c r="M64" s="76"/>
      <c r="N64" s="76"/>
      <c r="O64" s="76"/>
      <c r="P64" s="76"/>
      <c r="Q64" s="76"/>
      <c r="R64" s="77" t="str">
        <f t="shared" si="1"/>
        <v>није излазио/ла</v>
      </c>
      <c r="S64" s="78" t="str">
        <f t="shared" si="2"/>
        <v>нема услов</v>
      </c>
      <c r="T64" s="79" t="str">
        <f t="shared" si="3"/>
        <v>нема услов</v>
      </c>
      <c r="U64" s="80">
        <f t="shared" si="4"/>
        <v>0</v>
      </c>
      <c r="V64" s="148" t="s">
        <v>222</v>
      </c>
      <c r="W64" s="82"/>
      <c r="X64" s="82"/>
      <c r="Y64" s="82"/>
      <c r="Z64" s="82"/>
      <c r="AA64" s="82"/>
      <c r="AB64" s="82"/>
      <c r="AC64" s="3"/>
      <c r="AD64" s="3"/>
      <c r="AE64" s="3"/>
    </row>
    <row r="65" spans="1:31" ht="15" customHeight="1" x14ac:dyDescent="0.2">
      <c r="A65" s="65">
        <v>53</v>
      </c>
      <c r="B65" s="135" t="s">
        <v>219</v>
      </c>
      <c r="C65" s="136" t="s">
        <v>179</v>
      </c>
      <c r="D65" s="153" t="str">
        <f>VLOOKUP(B65,Присуство!$A$1:$R$96,17,FALSE)</f>
        <v>нема услов</v>
      </c>
      <c r="E65" s="154" t="str">
        <f>VLOOKUP(B65,Активност!$A$1:$Q$141,17,FALSE)</f>
        <v>негативно</v>
      </c>
      <c r="F65" s="155"/>
      <c r="G65" s="155"/>
      <c r="H65" s="140">
        <f t="shared" si="0"/>
        <v>0</v>
      </c>
      <c r="I65" s="142"/>
      <c r="J65" s="143"/>
      <c r="K65" s="143"/>
      <c r="L65" s="143"/>
      <c r="M65" s="143"/>
      <c r="N65" s="143"/>
      <c r="O65" s="143"/>
      <c r="P65" s="143"/>
      <c r="Q65" s="143"/>
      <c r="R65" s="156" t="str">
        <f t="shared" si="1"/>
        <v>није излазио/ла</v>
      </c>
      <c r="S65" s="157" t="str">
        <f t="shared" si="2"/>
        <v>нема услов</v>
      </c>
      <c r="T65" s="145" t="str">
        <f t="shared" si="3"/>
        <v>нема услов</v>
      </c>
      <c r="U65" s="147">
        <f t="shared" si="4"/>
        <v>0</v>
      </c>
      <c r="V65" s="158" t="s">
        <v>222</v>
      </c>
      <c r="W65" s="82"/>
      <c r="X65" s="82"/>
      <c r="Y65" s="82"/>
      <c r="Z65" s="82"/>
      <c r="AA65" s="82"/>
      <c r="AB65" s="82"/>
      <c r="AC65" s="3"/>
      <c r="AD65" s="3"/>
      <c r="AE65" s="3"/>
    </row>
    <row r="66" spans="1:31" ht="15" customHeight="1" x14ac:dyDescent="0.2">
      <c r="A66" s="65">
        <v>54</v>
      </c>
      <c r="B66" s="159" t="s">
        <v>226</v>
      </c>
      <c r="C66" s="160" t="s">
        <v>227</v>
      </c>
      <c r="D66" s="161" t="s">
        <v>228</v>
      </c>
      <c r="E66" s="162">
        <v>5.383</v>
      </c>
      <c r="F66" s="163" t="s">
        <v>229</v>
      </c>
      <c r="G66" s="164">
        <v>0</v>
      </c>
      <c r="H66" s="165">
        <f t="shared" si="0"/>
        <v>0</v>
      </c>
      <c r="I66" s="166"/>
      <c r="J66" s="167"/>
      <c r="K66" s="167"/>
      <c r="L66" s="167"/>
      <c r="M66" s="166">
        <v>12</v>
      </c>
      <c r="N66" s="167"/>
      <c r="O66" s="167"/>
      <c r="P66" s="166">
        <v>28</v>
      </c>
      <c r="Q66" s="167"/>
      <c r="R66" s="168">
        <f t="shared" si="1"/>
        <v>28</v>
      </c>
      <c r="S66" s="169">
        <f t="shared" si="2"/>
        <v>33.383000000000003</v>
      </c>
      <c r="T66" s="170" t="str">
        <f t="shared" si="3"/>
        <v>5/Ф (није положио)</v>
      </c>
      <c r="U66" s="171">
        <f t="shared" si="4"/>
        <v>2</v>
      </c>
      <c r="V66" s="148" t="s">
        <v>67</v>
      </c>
      <c r="W66" s="82"/>
      <c r="X66" s="82"/>
      <c r="Y66" s="82"/>
      <c r="Z66" s="82"/>
      <c r="AA66" s="82"/>
      <c r="AB66" s="82"/>
      <c r="AC66" s="3"/>
      <c r="AD66" s="3"/>
      <c r="AE66" s="3"/>
    </row>
    <row r="67" spans="1:31" ht="15" customHeight="1" x14ac:dyDescent="0.2">
      <c r="A67" s="65">
        <v>55</v>
      </c>
      <c r="B67" s="66" t="s">
        <v>230</v>
      </c>
      <c r="C67" s="68" t="s">
        <v>231</v>
      </c>
      <c r="D67" s="70" t="s">
        <v>228</v>
      </c>
      <c r="E67" s="71">
        <v>5.383</v>
      </c>
      <c r="F67" s="73">
        <v>5</v>
      </c>
      <c r="G67" s="84">
        <v>0</v>
      </c>
      <c r="H67" s="74">
        <f t="shared" si="0"/>
        <v>0</v>
      </c>
      <c r="I67" s="75"/>
      <c r="J67" s="75" t="s">
        <v>229</v>
      </c>
      <c r="K67" s="76"/>
      <c r="L67" s="76"/>
      <c r="M67" s="76"/>
      <c r="N67" s="76"/>
      <c r="O67" s="76"/>
      <c r="P67" s="76"/>
      <c r="Q67" s="76"/>
      <c r="R67" s="77" t="str">
        <f t="shared" si="1"/>
        <v>није полагао/ла</v>
      </c>
      <c r="S67" s="78">
        <f t="shared" si="2"/>
        <v>0</v>
      </c>
      <c r="T67" s="79" t="str">
        <f t="shared" si="3"/>
        <v>5/Ф (није положио)</v>
      </c>
      <c r="U67" s="80">
        <f t="shared" si="4"/>
        <v>1</v>
      </c>
      <c r="V67" s="81" t="s">
        <v>67</v>
      </c>
      <c r="W67" s="82"/>
      <c r="X67" s="82"/>
      <c r="Y67" s="82"/>
      <c r="Z67" s="82"/>
      <c r="AA67" s="82"/>
      <c r="AB67" s="82"/>
      <c r="AC67" s="3"/>
      <c r="AD67" s="3"/>
      <c r="AE67" s="3"/>
    </row>
    <row r="68" spans="1:31" ht="15" customHeight="1" x14ac:dyDescent="0.2">
      <c r="A68" s="65">
        <v>56</v>
      </c>
      <c r="B68" s="66" t="s">
        <v>232</v>
      </c>
      <c r="C68" s="68" t="s">
        <v>233</v>
      </c>
      <c r="D68" s="70" t="s">
        <v>228</v>
      </c>
      <c r="E68" s="71">
        <v>5.383</v>
      </c>
      <c r="F68" s="73">
        <v>0</v>
      </c>
      <c r="G68" s="73" t="s">
        <v>229</v>
      </c>
      <c r="H68" s="172">
        <f t="shared" si="0"/>
        <v>0</v>
      </c>
      <c r="I68" s="75"/>
      <c r="J68" s="76"/>
      <c r="K68" s="76"/>
      <c r="L68" s="76"/>
      <c r="M68" s="75" t="s">
        <v>229</v>
      </c>
      <c r="N68" s="76"/>
      <c r="O68" s="76"/>
      <c r="P68" s="76"/>
      <c r="Q68" s="76"/>
      <c r="R68" s="77" t="str">
        <f t="shared" si="1"/>
        <v>није полагао/ла</v>
      </c>
      <c r="S68" s="78">
        <f t="shared" si="2"/>
        <v>0</v>
      </c>
      <c r="T68" s="79" t="str">
        <f t="shared" si="3"/>
        <v>5/Ф (није положио)</v>
      </c>
      <c r="U68" s="80">
        <f t="shared" si="4"/>
        <v>1</v>
      </c>
      <c r="V68" s="81" t="s">
        <v>67</v>
      </c>
      <c r="W68" s="82"/>
      <c r="X68" s="82"/>
      <c r="Y68" s="82"/>
      <c r="Z68" s="82"/>
      <c r="AA68" s="82"/>
      <c r="AB68" s="82"/>
      <c r="AC68" s="3"/>
      <c r="AD68" s="3"/>
      <c r="AE68" s="3"/>
    </row>
    <row r="69" spans="1:31" ht="15" customHeight="1" x14ac:dyDescent="0.2">
      <c r="A69" s="65">
        <v>57</v>
      </c>
      <c r="B69" s="66" t="s">
        <v>234</v>
      </c>
      <c r="C69" s="68" t="s">
        <v>235</v>
      </c>
      <c r="D69" s="70" t="s">
        <v>228</v>
      </c>
      <c r="E69" s="71">
        <v>5.383</v>
      </c>
      <c r="F69" s="73">
        <v>0</v>
      </c>
      <c r="G69" s="84">
        <v>6</v>
      </c>
      <c r="H69" s="74">
        <f t="shared" si="0"/>
        <v>0</v>
      </c>
      <c r="I69" s="75"/>
      <c r="J69" s="76"/>
      <c r="K69" s="76"/>
      <c r="L69" s="76"/>
      <c r="M69" s="76"/>
      <c r="N69" s="76"/>
      <c r="O69" s="75" t="s">
        <v>229</v>
      </c>
      <c r="P69" s="76"/>
      <c r="Q69" s="76"/>
      <c r="R69" s="77" t="str">
        <f t="shared" si="1"/>
        <v>није полагао/ла</v>
      </c>
      <c r="S69" s="78">
        <f t="shared" si="2"/>
        <v>0</v>
      </c>
      <c r="T69" s="79" t="str">
        <f t="shared" si="3"/>
        <v>5/Ф (није положио)</v>
      </c>
      <c r="U69" s="80">
        <f t="shared" si="4"/>
        <v>1</v>
      </c>
      <c r="V69" s="81" t="s">
        <v>67</v>
      </c>
      <c r="W69" s="82"/>
      <c r="X69" s="82"/>
      <c r="Y69" s="82"/>
      <c r="Z69" s="82"/>
      <c r="AA69" s="82"/>
      <c r="AB69" s="82"/>
      <c r="AC69" s="3"/>
      <c r="AD69" s="3"/>
      <c r="AE69" s="3"/>
    </row>
    <row r="70" spans="1:31" ht="15" customHeight="1" x14ac:dyDescent="0.2">
      <c r="A70" s="65">
        <v>58</v>
      </c>
      <c r="B70" s="66" t="s">
        <v>236</v>
      </c>
      <c r="C70" s="68" t="s">
        <v>237</v>
      </c>
      <c r="D70" s="70" t="s">
        <v>228</v>
      </c>
      <c r="E70" s="71">
        <v>6.1520000000000001</v>
      </c>
      <c r="F70" s="73">
        <v>0</v>
      </c>
      <c r="G70" s="84">
        <v>0</v>
      </c>
      <c r="H70" s="74">
        <f t="shared" si="0"/>
        <v>0</v>
      </c>
      <c r="I70" s="75"/>
      <c r="J70" s="75"/>
      <c r="K70" s="76"/>
      <c r="L70" s="76"/>
      <c r="M70" s="76"/>
      <c r="N70" s="76"/>
      <c r="O70" s="76"/>
      <c r="P70" s="75">
        <v>0</v>
      </c>
      <c r="Q70" s="76"/>
      <c r="R70" s="77">
        <f t="shared" si="1"/>
        <v>0</v>
      </c>
      <c r="S70" s="78">
        <f t="shared" si="2"/>
        <v>0</v>
      </c>
      <c r="T70" s="79" t="str">
        <f t="shared" si="3"/>
        <v>5/Ф (није положио)</v>
      </c>
      <c r="U70" s="80">
        <f t="shared" si="4"/>
        <v>1</v>
      </c>
      <c r="V70" s="81" t="s">
        <v>67</v>
      </c>
      <c r="W70" s="82"/>
      <c r="X70" s="82"/>
      <c r="Y70" s="82"/>
      <c r="Z70" s="82"/>
      <c r="AA70" s="82"/>
      <c r="AB70" s="82"/>
      <c r="AC70" s="3"/>
      <c r="AD70" s="3"/>
      <c r="AE70" s="3"/>
    </row>
    <row r="71" spans="1:31" ht="15" customHeight="1" x14ac:dyDescent="0.2">
      <c r="A71" s="65">
        <v>59</v>
      </c>
      <c r="B71" s="66" t="s">
        <v>238</v>
      </c>
      <c r="C71" s="68" t="s">
        <v>239</v>
      </c>
      <c r="D71" s="70" t="s">
        <v>228</v>
      </c>
      <c r="E71" s="71">
        <v>5.383</v>
      </c>
      <c r="F71" s="73">
        <v>1.8</v>
      </c>
      <c r="G71" s="73">
        <v>0</v>
      </c>
      <c r="H71" s="74">
        <f t="shared" si="0"/>
        <v>0</v>
      </c>
      <c r="I71" s="75"/>
      <c r="J71" s="75" t="s">
        <v>229</v>
      </c>
      <c r="K71" s="76"/>
      <c r="L71" s="76"/>
      <c r="M71" s="76"/>
      <c r="N71" s="76"/>
      <c r="O71" s="76"/>
      <c r="P71" s="76"/>
      <c r="Q71" s="76"/>
      <c r="R71" s="77" t="str">
        <f t="shared" si="1"/>
        <v>није полагао/ла</v>
      </c>
      <c r="S71" s="78">
        <f t="shared" si="2"/>
        <v>0</v>
      </c>
      <c r="T71" s="79" t="str">
        <f t="shared" si="3"/>
        <v>5/Ф (није положио)</v>
      </c>
      <c r="U71" s="80">
        <f t="shared" si="4"/>
        <v>1</v>
      </c>
      <c r="V71" s="81" t="s">
        <v>67</v>
      </c>
      <c r="W71" s="82"/>
      <c r="X71" s="82"/>
      <c r="Y71" s="82"/>
      <c r="Z71" s="82"/>
      <c r="AA71" s="82"/>
      <c r="AB71" s="82"/>
      <c r="AC71" s="3"/>
      <c r="AD71" s="3"/>
      <c r="AE71" s="3"/>
    </row>
    <row r="72" spans="1:31" ht="15" customHeight="1" x14ac:dyDescent="0.2">
      <c r="A72" s="65">
        <v>60</v>
      </c>
      <c r="B72" s="132" t="s">
        <v>240</v>
      </c>
      <c r="C72" s="133" t="s">
        <v>241</v>
      </c>
      <c r="D72" s="70" t="s">
        <v>228</v>
      </c>
      <c r="E72" s="71">
        <v>6.9210000000000003</v>
      </c>
      <c r="F72" s="73">
        <v>0</v>
      </c>
      <c r="G72" s="84">
        <v>0</v>
      </c>
      <c r="H72" s="74">
        <f t="shared" si="0"/>
        <v>0</v>
      </c>
      <c r="I72" s="75"/>
      <c r="J72" s="75"/>
      <c r="K72" s="76"/>
      <c r="L72" s="76"/>
      <c r="M72" s="76"/>
      <c r="N72" s="76"/>
      <c r="O72" s="76"/>
      <c r="P72" s="75" t="s">
        <v>229</v>
      </c>
      <c r="Q72" s="76"/>
      <c r="R72" s="77" t="str">
        <f t="shared" si="1"/>
        <v>није полагао/ла</v>
      </c>
      <c r="S72" s="78">
        <f t="shared" si="2"/>
        <v>0</v>
      </c>
      <c r="T72" s="79" t="str">
        <f t="shared" si="3"/>
        <v>5/Ф (није положио)</v>
      </c>
      <c r="U72" s="80">
        <f t="shared" si="4"/>
        <v>1</v>
      </c>
      <c r="V72" s="148" t="s">
        <v>222</v>
      </c>
      <c r="W72" s="82"/>
      <c r="X72" s="82"/>
      <c r="Y72" s="82"/>
      <c r="Z72" s="82"/>
      <c r="AA72" s="82"/>
      <c r="AB72" s="82"/>
      <c r="AC72" s="3"/>
      <c r="AD72" s="3"/>
      <c r="AE72" s="3"/>
    </row>
    <row r="73" spans="1:31" ht="15" customHeight="1" x14ac:dyDescent="0.2">
      <c r="A73" s="65">
        <v>61</v>
      </c>
      <c r="B73" s="132" t="s">
        <v>242</v>
      </c>
      <c r="C73" s="133" t="s">
        <v>243</v>
      </c>
      <c r="D73" s="70" t="s">
        <v>228</v>
      </c>
      <c r="E73" s="71">
        <v>7.69</v>
      </c>
      <c r="F73" s="73">
        <v>0</v>
      </c>
      <c r="G73" s="84">
        <v>0</v>
      </c>
      <c r="H73" s="74">
        <f t="shared" si="0"/>
        <v>0</v>
      </c>
      <c r="I73" s="75"/>
      <c r="J73" s="76"/>
      <c r="K73" s="76"/>
      <c r="L73" s="76"/>
      <c r="M73" s="76"/>
      <c r="N73" s="76"/>
      <c r="O73" s="76"/>
      <c r="P73" s="75" t="s">
        <v>229</v>
      </c>
      <c r="Q73" s="76"/>
      <c r="R73" s="77" t="str">
        <f t="shared" si="1"/>
        <v>није полагао/ла</v>
      </c>
      <c r="S73" s="78">
        <f t="shared" si="2"/>
        <v>0</v>
      </c>
      <c r="T73" s="79" t="str">
        <f t="shared" si="3"/>
        <v>5/Ф (није положио)</v>
      </c>
      <c r="U73" s="80">
        <f t="shared" si="4"/>
        <v>1</v>
      </c>
      <c r="V73" s="148" t="s">
        <v>222</v>
      </c>
      <c r="W73" s="82"/>
      <c r="X73" s="82"/>
      <c r="Y73" s="82"/>
      <c r="Z73" s="82"/>
      <c r="AA73" s="82"/>
      <c r="AB73" s="82"/>
      <c r="AC73" s="3"/>
      <c r="AD73" s="3"/>
      <c r="AE73" s="3"/>
    </row>
    <row r="74" spans="1:31" ht="15" customHeight="1" x14ac:dyDescent="0.2">
      <c r="A74" s="65">
        <v>62</v>
      </c>
      <c r="B74" s="132" t="s">
        <v>244</v>
      </c>
      <c r="C74" s="133" t="s">
        <v>245</v>
      </c>
      <c r="D74" s="70" t="s">
        <v>228</v>
      </c>
      <c r="E74" s="71">
        <v>6.1520000000000001</v>
      </c>
      <c r="F74" s="73">
        <v>5</v>
      </c>
      <c r="G74" s="73">
        <v>11</v>
      </c>
      <c r="H74" s="74">
        <f t="shared" si="0"/>
        <v>11</v>
      </c>
      <c r="I74" s="75"/>
      <c r="J74" s="75" t="s">
        <v>229</v>
      </c>
      <c r="K74" s="76"/>
      <c r="L74" s="75" t="s">
        <v>229</v>
      </c>
      <c r="M74" s="75">
        <v>6</v>
      </c>
      <c r="N74" s="76"/>
      <c r="O74" s="76"/>
      <c r="P74" s="76"/>
      <c r="Q74" s="76"/>
      <c r="R74" s="77">
        <f t="shared" si="1"/>
        <v>6</v>
      </c>
      <c r="S74" s="78">
        <f t="shared" si="2"/>
        <v>0</v>
      </c>
      <c r="T74" s="79" t="str">
        <f t="shared" si="3"/>
        <v>5/Ф (није положио)</v>
      </c>
      <c r="U74" s="80">
        <f t="shared" si="4"/>
        <v>3</v>
      </c>
      <c r="V74" s="148" t="s">
        <v>222</v>
      </c>
      <c r="W74" s="82"/>
      <c r="X74" s="83"/>
      <c r="Y74" s="82"/>
      <c r="Z74" s="82"/>
      <c r="AA74" s="82"/>
      <c r="AB74" s="82"/>
      <c r="AC74" s="3"/>
      <c r="AD74" s="3"/>
      <c r="AE74" s="3"/>
    </row>
    <row r="75" spans="1:31" ht="15" customHeight="1" x14ac:dyDescent="0.2">
      <c r="A75" s="65">
        <v>63</v>
      </c>
      <c r="B75" s="132" t="s">
        <v>246</v>
      </c>
      <c r="C75" s="133" t="s">
        <v>247</v>
      </c>
      <c r="D75" s="70" t="s">
        <v>228</v>
      </c>
      <c r="E75" s="71">
        <v>6.1520000000000001</v>
      </c>
      <c r="F75" s="73">
        <v>0</v>
      </c>
      <c r="G75" s="73" t="s">
        <v>229</v>
      </c>
      <c r="H75" s="74">
        <f t="shared" si="0"/>
        <v>0</v>
      </c>
      <c r="I75" s="75"/>
      <c r="J75" s="76"/>
      <c r="K75" s="76"/>
      <c r="L75" s="76"/>
      <c r="M75" s="76"/>
      <c r="N75" s="76"/>
      <c r="O75" s="76"/>
      <c r="P75" s="76"/>
      <c r="Q75" s="76"/>
      <c r="R75" s="77" t="str">
        <f t="shared" si="1"/>
        <v>није излазио/ла</v>
      </c>
      <c r="S75" s="78" t="str">
        <f t="shared" si="2"/>
        <v>није полагао/ла</v>
      </c>
      <c r="T75" s="79" t="str">
        <f t="shared" si="3"/>
        <v>није полагао/ла</v>
      </c>
      <c r="U75" s="80">
        <f t="shared" si="4"/>
        <v>0</v>
      </c>
      <c r="V75" s="148" t="s">
        <v>222</v>
      </c>
      <c r="W75" s="82"/>
      <c r="X75" s="82"/>
      <c r="Y75" s="82"/>
      <c r="Z75" s="82"/>
      <c r="AA75" s="82"/>
      <c r="AB75" s="82"/>
      <c r="AC75" s="3"/>
      <c r="AD75" s="3"/>
      <c r="AE75" s="3"/>
    </row>
    <row r="76" spans="1:31" ht="15" customHeight="1" x14ac:dyDescent="0.2">
      <c r="A76" s="65">
        <v>64</v>
      </c>
      <c r="B76" s="132" t="s">
        <v>248</v>
      </c>
      <c r="C76" s="174" t="s">
        <v>249</v>
      </c>
      <c r="D76" s="70" t="s">
        <v>228</v>
      </c>
      <c r="E76" s="71">
        <v>8.0933252400000004</v>
      </c>
      <c r="F76" s="73" t="s">
        <v>229</v>
      </c>
      <c r="G76" s="73" t="s">
        <v>229</v>
      </c>
      <c r="H76" s="74">
        <f t="shared" si="0"/>
        <v>0</v>
      </c>
      <c r="I76" s="75"/>
      <c r="J76" s="76"/>
      <c r="K76" s="76"/>
      <c r="L76" s="76"/>
      <c r="M76" s="76"/>
      <c r="N76" s="76"/>
      <c r="O76" s="76"/>
      <c r="P76" s="76"/>
      <c r="Q76" s="76"/>
      <c r="R76" s="77" t="str">
        <f t="shared" si="1"/>
        <v>није излазио/ла</v>
      </c>
      <c r="S76" s="78" t="str">
        <f t="shared" si="2"/>
        <v>није полагао/ла</v>
      </c>
      <c r="T76" s="79" t="str">
        <f t="shared" si="3"/>
        <v>није полагао/ла</v>
      </c>
      <c r="U76" s="80">
        <f t="shared" si="4"/>
        <v>0</v>
      </c>
      <c r="V76" s="148" t="s">
        <v>222</v>
      </c>
      <c r="W76" s="82"/>
      <c r="X76" s="82"/>
      <c r="Y76" s="82"/>
      <c r="Z76" s="82"/>
      <c r="AA76" s="82"/>
      <c r="AB76" s="82"/>
      <c r="AC76" s="3"/>
      <c r="AD76" s="3"/>
      <c r="AE76" s="3"/>
    </row>
    <row r="77" spans="1:31" ht="15" customHeight="1" x14ac:dyDescent="0.2">
      <c r="A77" s="65">
        <v>65</v>
      </c>
      <c r="B77" s="175" t="s">
        <v>250</v>
      </c>
      <c r="C77" s="176" t="s">
        <v>251</v>
      </c>
      <c r="D77" s="70" t="s">
        <v>228</v>
      </c>
      <c r="E77" s="71">
        <v>7.7999921999999993</v>
      </c>
      <c r="F77" s="73" t="s">
        <v>229</v>
      </c>
      <c r="G77" s="73" t="s">
        <v>229</v>
      </c>
      <c r="H77" s="74">
        <f t="shared" si="0"/>
        <v>0</v>
      </c>
      <c r="I77" s="166"/>
      <c r="J77" s="166"/>
      <c r="K77" s="177"/>
      <c r="L77" s="167"/>
      <c r="M77" s="167"/>
      <c r="N77" s="167"/>
      <c r="O77" s="167"/>
      <c r="P77" s="167"/>
      <c r="Q77" s="167"/>
      <c r="R77" s="77" t="str">
        <f t="shared" si="1"/>
        <v>није излазио/ла</v>
      </c>
      <c r="S77" s="78" t="str">
        <f t="shared" si="2"/>
        <v>није полагао/ла</v>
      </c>
      <c r="T77" s="79" t="str">
        <f t="shared" si="3"/>
        <v>није полагао/ла</v>
      </c>
      <c r="U77" s="80">
        <f t="shared" si="4"/>
        <v>0</v>
      </c>
      <c r="V77" s="148" t="s">
        <v>222</v>
      </c>
      <c r="W77" s="83"/>
      <c r="X77" s="82"/>
      <c r="Y77" s="82"/>
      <c r="Z77" s="82"/>
      <c r="AA77" s="82"/>
      <c r="AB77" s="82"/>
      <c r="AC77" s="3"/>
      <c r="AD77" s="3"/>
      <c r="AE77" s="3"/>
    </row>
    <row r="78" spans="1:31" ht="15" customHeight="1" x14ac:dyDescent="0.2">
      <c r="A78" s="65">
        <v>66</v>
      </c>
      <c r="B78" s="178" t="s">
        <v>252</v>
      </c>
      <c r="C78" s="176" t="s">
        <v>253</v>
      </c>
      <c r="D78" s="70" t="s">
        <v>228</v>
      </c>
      <c r="E78" s="71">
        <v>6.4666601999999997</v>
      </c>
      <c r="F78" s="73" t="s">
        <v>229</v>
      </c>
      <c r="G78" s="73" t="s">
        <v>229</v>
      </c>
      <c r="H78" s="74">
        <f t="shared" si="0"/>
        <v>0</v>
      </c>
      <c r="I78" s="75"/>
      <c r="J78" s="75"/>
      <c r="K78" s="76"/>
      <c r="L78" s="76"/>
      <c r="M78" s="75"/>
      <c r="N78" s="76"/>
      <c r="O78" s="75"/>
      <c r="P78" s="75"/>
      <c r="Q78" s="75"/>
      <c r="R78" s="77" t="str">
        <f t="shared" si="1"/>
        <v>није излазио/ла</v>
      </c>
      <c r="S78" s="78" t="str">
        <f t="shared" si="2"/>
        <v>није полагао/ла</v>
      </c>
      <c r="T78" s="79" t="str">
        <f t="shared" si="3"/>
        <v>није полагао/ла</v>
      </c>
      <c r="U78" s="80">
        <f t="shared" si="4"/>
        <v>0</v>
      </c>
      <c r="V78" s="148" t="s">
        <v>222</v>
      </c>
      <c r="W78" s="83"/>
      <c r="X78" s="82"/>
      <c r="Y78" s="83"/>
      <c r="Z78" s="82"/>
      <c r="AA78" s="83"/>
      <c r="AB78" s="83"/>
      <c r="AC78" s="3"/>
      <c r="AD78" s="3"/>
      <c r="AE78" s="3"/>
    </row>
    <row r="79" spans="1:31" ht="15" customHeight="1" x14ac:dyDescent="0.2">
      <c r="A79" s="65">
        <v>67</v>
      </c>
      <c r="B79" s="179" t="s">
        <v>254</v>
      </c>
      <c r="C79" s="120" t="s">
        <v>255</v>
      </c>
      <c r="D79" s="70" t="s">
        <v>228</v>
      </c>
      <c r="E79" s="71">
        <v>6.1520000000000001</v>
      </c>
      <c r="F79" s="73">
        <v>0</v>
      </c>
      <c r="G79" s="73">
        <v>10.5</v>
      </c>
      <c r="H79" s="74">
        <f t="shared" si="0"/>
        <v>10.5</v>
      </c>
      <c r="I79" s="180"/>
      <c r="J79" s="75"/>
      <c r="K79" s="76"/>
      <c r="L79" s="76"/>
      <c r="M79" s="75" t="s">
        <v>229</v>
      </c>
      <c r="N79" s="76"/>
      <c r="O79" s="76"/>
      <c r="P79" s="76"/>
      <c r="Q79" s="76"/>
      <c r="R79" s="77" t="str">
        <f t="shared" si="1"/>
        <v>није полагао/ла</v>
      </c>
      <c r="S79" s="78">
        <f t="shared" si="2"/>
        <v>0</v>
      </c>
      <c r="T79" s="79" t="str">
        <f t="shared" si="3"/>
        <v>5/Ф (није положио)</v>
      </c>
      <c r="U79" s="80">
        <f t="shared" si="4"/>
        <v>1</v>
      </c>
      <c r="V79" s="148" t="s">
        <v>222</v>
      </c>
      <c r="W79" s="83"/>
      <c r="X79" s="82"/>
      <c r="Y79" s="82"/>
      <c r="Z79" s="82"/>
      <c r="AA79" s="82"/>
      <c r="AB79" s="82"/>
      <c r="AC79" s="3"/>
      <c r="AD79" s="3"/>
      <c r="AE79" s="3"/>
    </row>
    <row r="80" spans="1:31" ht="15" customHeight="1" x14ac:dyDescent="0.2">
      <c r="A80" s="181"/>
      <c r="B80" s="182"/>
      <c r="C80" s="181"/>
      <c r="D80" s="181"/>
      <c r="E80" s="183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4"/>
      <c r="W80" s="181"/>
      <c r="X80" s="181"/>
      <c r="Y80" s="181"/>
      <c r="Z80" s="181"/>
      <c r="AA80" s="181"/>
      <c r="AB80" s="181"/>
      <c r="AC80" s="181"/>
      <c r="AD80" s="181"/>
      <c r="AE80" s="181"/>
    </row>
    <row r="81" spans="1:31" ht="15" customHeight="1" x14ac:dyDescent="0.2">
      <c r="A81" s="181"/>
      <c r="B81" s="182" t="s">
        <v>256</v>
      </c>
      <c r="C81" s="181"/>
      <c r="D81" s="181"/>
      <c r="E81" s="183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5" t="s">
        <v>157</v>
      </c>
      <c r="T81" s="186" t="s">
        <v>257</v>
      </c>
      <c r="U81" s="187"/>
      <c r="V81" s="188"/>
      <c r="W81" s="181"/>
      <c r="X81" s="181"/>
      <c r="Y81" s="181"/>
      <c r="Z81" s="181"/>
      <c r="AA81" s="181"/>
      <c r="AB81" s="181"/>
      <c r="AC81" s="181"/>
      <c r="AD81" s="181"/>
      <c r="AE81" s="181"/>
    </row>
    <row r="82" spans="1:31" ht="12.75" customHeight="1" x14ac:dyDescent="0.2">
      <c r="A82" s="3"/>
      <c r="B82" s="2"/>
      <c r="C82" s="3"/>
      <c r="D82" s="3"/>
      <c r="E82" s="189"/>
      <c r="F82" s="190">
        <f t="shared" ref="F82:G82" si="5">COUNTIF(F6:F79,"&gt;10")</f>
        <v>16</v>
      </c>
      <c r="G82" s="190">
        <f t="shared" si="5"/>
        <v>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91" t="s">
        <v>258</v>
      </c>
      <c r="T82" s="186" t="s">
        <v>259</v>
      </c>
      <c r="U82" s="192">
        <f>COUNTIF(S73:S79,"нема услов")</f>
        <v>0</v>
      </c>
      <c r="V82" s="4"/>
      <c r="W82" s="3"/>
      <c r="X82" s="3"/>
      <c r="Y82" s="3"/>
      <c r="Z82" s="3"/>
      <c r="AA82" s="3"/>
      <c r="AB82" s="3"/>
      <c r="AC82" s="3"/>
      <c r="AD82" s="3"/>
    </row>
    <row r="83" spans="1:31" ht="13.5" customHeight="1" x14ac:dyDescent="0.2">
      <c r="A83" s="3"/>
      <c r="B83" s="2"/>
      <c r="C83" s="193"/>
      <c r="D83" s="3"/>
      <c r="E83" s="3"/>
      <c r="F83" s="3"/>
      <c r="G83" s="194" t="s">
        <v>260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95" t="s">
        <v>261</v>
      </c>
      <c r="T83" s="196" t="s">
        <v>262</v>
      </c>
      <c r="U83" s="197">
        <f>COUNTIF(S73:S79,"није полагао/ла")</f>
        <v>4</v>
      </c>
      <c r="V83" s="4"/>
      <c r="W83" s="3"/>
      <c r="X83" s="3"/>
      <c r="Y83" s="3"/>
      <c r="Z83" s="3"/>
      <c r="AA83" s="3"/>
      <c r="AB83" s="3"/>
      <c r="AC83" s="3"/>
      <c r="AD83" s="3"/>
    </row>
    <row r="84" spans="1:31" ht="12.75" customHeight="1" x14ac:dyDescent="0.2">
      <c r="A84" s="3"/>
      <c r="B84" s="2"/>
      <c r="C84" s="3"/>
      <c r="D84" s="3"/>
      <c r="E84" s="194" t="s">
        <v>263</v>
      </c>
      <c r="F84" s="198">
        <f>COUNTIF(F13:F79,"&gt;10")</f>
        <v>16</v>
      </c>
      <c r="G84" s="198">
        <f>COUNTIF(G13:G76,"&gt;10")</f>
        <v>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95" t="s">
        <v>264</v>
      </c>
      <c r="T84" s="196" t="s">
        <v>265</v>
      </c>
      <c r="U84" s="197">
        <f>COUNTIF(R73:R79,"&gt;=0")</f>
        <v>1</v>
      </c>
      <c r="V84" s="4"/>
      <c r="W84" s="3"/>
      <c r="X84" s="3"/>
      <c r="Y84" s="3"/>
      <c r="Z84" s="3"/>
      <c r="AA84" s="3"/>
      <c r="AB84" s="3"/>
      <c r="AC84" s="3"/>
      <c r="AD84" s="3"/>
    </row>
    <row r="85" spans="1:31" ht="12.75" customHeight="1" x14ac:dyDescent="0.2">
      <c r="A85" s="3"/>
      <c r="B85" s="2"/>
      <c r="C85" s="3"/>
      <c r="D85" s="3"/>
      <c r="E85" s="194" t="s">
        <v>266</v>
      </c>
      <c r="F85" s="198">
        <f>COUNTIF(F13:F79,"&gt;=0")</f>
        <v>39</v>
      </c>
      <c r="G85" s="198">
        <f>COUNTIF(G13:G76,"&gt;=0")</f>
        <v>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95" t="s">
        <v>267</v>
      </c>
      <c r="T85" s="196" t="s">
        <v>268</v>
      </c>
      <c r="U85" s="197">
        <f>COUNTIF(S73:S79,"&gt;50,9")</f>
        <v>4</v>
      </c>
      <c r="V85" s="4"/>
      <c r="W85" s="3"/>
      <c r="X85" s="3"/>
      <c r="Y85" s="3"/>
      <c r="Z85" s="3"/>
      <c r="AA85" s="3"/>
      <c r="AB85" s="3"/>
      <c r="AC85" s="3"/>
      <c r="AD85" s="3"/>
    </row>
    <row r="86" spans="1:31" ht="12.75" customHeight="1" x14ac:dyDescent="0.2">
      <c r="A86" s="3"/>
      <c r="B86" s="2"/>
      <c r="C86" s="3"/>
      <c r="D86" s="3"/>
      <c r="E86" s="194" t="s">
        <v>269</v>
      </c>
      <c r="F86" s="199">
        <f t="shared" ref="F86:G86" si="6">F84/F85*100</f>
        <v>41.025641025641022</v>
      </c>
      <c r="G86" s="199">
        <f t="shared" si="6"/>
        <v>12.5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00" t="s">
        <v>270</v>
      </c>
      <c r="T86" s="201" t="s">
        <v>271</v>
      </c>
      <c r="U86" s="202">
        <f>COUNTIF(T1:T79,"5/Ф (није положио)")</f>
        <v>10</v>
      </c>
      <c r="V86" s="4"/>
      <c r="W86" s="3"/>
      <c r="X86" s="3"/>
      <c r="Y86" s="3"/>
      <c r="Z86" s="3"/>
      <c r="AA86" s="3"/>
      <c r="AB86" s="3"/>
      <c r="AC86" s="3"/>
      <c r="AD86" s="3"/>
    </row>
    <row r="87" spans="1:31" ht="12.75" customHeight="1" x14ac:dyDescent="0.2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03" t="s">
        <v>272</v>
      </c>
      <c r="T87" s="201" t="s">
        <v>273</v>
      </c>
      <c r="U87" s="202">
        <f>U81-U82-U85</f>
        <v>-4</v>
      </c>
      <c r="V87" s="4"/>
      <c r="W87" s="3"/>
      <c r="X87" s="3"/>
      <c r="Y87" s="3"/>
      <c r="Z87" s="3"/>
      <c r="AA87" s="3"/>
      <c r="AB87" s="3"/>
      <c r="AC87" s="3"/>
      <c r="AD87" s="3"/>
    </row>
    <row r="88" spans="1:31" ht="12.75" customHeight="1" x14ac:dyDescent="0.2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V88" s="4"/>
      <c r="W88" s="3"/>
      <c r="X88" s="3"/>
      <c r="Y88" s="3"/>
      <c r="Z88" s="3"/>
      <c r="AA88" s="3"/>
      <c r="AB88" s="3"/>
      <c r="AC88" s="3"/>
      <c r="AD88" s="3"/>
    </row>
    <row r="89" spans="1:31" ht="12.75" customHeight="1" x14ac:dyDescent="0.2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V89" s="4"/>
      <c r="W89" s="3"/>
      <c r="X89" s="3"/>
      <c r="Y89" s="3"/>
      <c r="Z89" s="3"/>
      <c r="AA89" s="3"/>
      <c r="AB89" s="3"/>
      <c r="AC89" s="3"/>
      <c r="AD89" s="3"/>
    </row>
    <row r="90" spans="1:31" ht="12.75" customHeight="1" x14ac:dyDescent="0.2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V90" s="4"/>
      <c r="W90" s="3"/>
      <c r="X90" s="3"/>
      <c r="Y90" s="3"/>
      <c r="Z90" s="3"/>
      <c r="AA90" s="3"/>
      <c r="AB90" s="3"/>
      <c r="AC90" s="3"/>
      <c r="AD90" s="3"/>
    </row>
    <row r="91" spans="1:31" ht="12.75" customHeight="1" x14ac:dyDescent="0.2">
      <c r="A91" s="3"/>
      <c r="B91" s="2"/>
      <c r="C91" s="19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V91" s="4"/>
      <c r="W91" s="3"/>
      <c r="X91" s="3"/>
      <c r="Y91" s="3"/>
      <c r="Z91" s="3"/>
      <c r="AA91" s="3"/>
      <c r="AB91" s="3"/>
      <c r="AC91" s="3"/>
      <c r="AD91" s="3"/>
    </row>
    <row r="92" spans="1:31" ht="12.75" customHeight="1" x14ac:dyDescent="0.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V92" s="4"/>
      <c r="W92" s="3"/>
      <c r="X92" s="3"/>
      <c r="Y92" s="3"/>
      <c r="Z92" s="3"/>
      <c r="AA92" s="3"/>
      <c r="AB92" s="3"/>
      <c r="AC92" s="3"/>
      <c r="AD92" s="3"/>
    </row>
    <row r="93" spans="1:31" ht="14.25" customHeight="1" x14ac:dyDescent="0.2">
      <c r="A93" s="3"/>
      <c r="B93" s="2"/>
      <c r="C93" s="20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V93" s="4"/>
      <c r="W93" s="3"/>
      <c r="X93" s="3"/>
      <c r="Y93" s="3"/>
      <c r="Z93" s="3"/>
      <c r="AA93" s="3"/>
      <c r="AB93" s="3"/>
      <c r="AC93" s="3"/>
      <c r="AD93" s="3"/>
    </row>
    <row r="94" spans="1:31" ht="14.25" customHeight="1" x14ac:dyDescent="0.2">
      <c r="A94" s="3"/>
      <c r="B94" s="2"/>
      <c r="C94" s="20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V94" s="4"/>
    </row>
    <row r="95" spans="1:31" ht="14.25" customHeight="1" x14ac:dyDescent="0.2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V95" s="4"/>
    </row>
    <row r="96" spans="1:31" ht="14.25" customHeight="1" x14ac:dyDescent="0.2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V96" s="4"/>
    </row>
    <row r="97" spans="1:22" ht="14.25" customHeight="1" x14ac:dyDescent="0.2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V97" s="4"/>
    </row>
    <row r="98" spans="1:22" ht="14.25" customHeight="1" x14ac:dyDescent="0.2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V98" s="4"/>
    </row>
    <row r="99" spans="1:22" ht="14.25" customHeight="1" x14ac:dyDescent="0.2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V99" s="4"/>
    </row>
    <row r="100" spans="1:22" ht="14.25" customHeight="1" x14ac:dyDescent="0.2">
      <c r="A100" s="3"/>
      <c r="B100" s="2"/>
      <c r="C100" s="3"/>
      <c r="D100" s="20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V100" s="4"/>
    </row>
    <row r="101" spans="1:22" ht="15" customHeight="1" x14ac:dyDescent="0.2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V101" s="4"/>
    </row>
    <row r="102" spans="1:22" ht="15" customHeight="1" x14ac:dyDescent="0.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V102" s="4"/>
    </row>
    <row r="103" spans="1:22" ht="15" customHeight="1" x14ac:dyDescent="0.2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V103" s="4"/>
    </row>
    <row r="104" spans="1:22" ht="12.75" customHeight="1" x14ac:dyDescent="0.2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V104" s="4"/>
    </row>
    <row r="105" spans="1:22" ht="12.75" customHeight="1" x14ac:dyDescent="0.2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V105" s="4"/>
    </row>
    <row r="106" spans="1:22" ht="12.75" customHeight="1" x14ac:dyDescent="0.2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V106" s="4"/>
    </row>
    <row r="107" spans="1:22" ht="12.75" customHeight="1" x14ac:dyDescent="0.2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V107" s="4"/>
    </row>
    <row r="108" spans="1:22" ht="12.75" customHeight="1" x14ac:dyDescent="0.2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V108" s="4"/>
    </row>
    <row r="109" spans="1:22" ht="12.75" customHeight="1" x14ac:dyDescent="0.2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V109" s="4"/>
    </row>
    <row r="110" spans="1:22" ht="12.75" customHeight="1" x14ac:dyDescent="0.2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V110" s="4"/>
    </row>
    <row r="111" spans="1:22" ht="12.75" customHeight="1" x14ac:dyDescent="0.2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V111" s="4"/>
    </row>
    <row r="112" spans="1:22" ht="12.75" customHeight="1" x14ac:dyDescent="0.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V112" s="4"/>
    </row>
    <row r="113" spans="1:22" ht="12.75" customHeight="1" x14ac:dyDescent="0.2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V113" s="4"/>
    </row>
    <row r="114" spans="1:22" ht="12.75" customHeight="1" x14ac:dyDescent="0.2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V114" s="4"/>
    </row>
    <row r="115" spans="1:22" ht="12.75" customHeight="1" x14ac:dyDescent="0.2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V115" s="4"/>
    </row>
    <row r="116" spans="1:22" ht="12.75" customHeight="1" x14ac:dyDescent="0.2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V116" s="4"/>
    </row>
    <row r="117" spans="1:22" ht="12.75" customHeight="1" x14ac:dyDescent="0.2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 s="4"/>
    </row>
    <row r="118" spans="1:22" ht="12.75" customHeight="1" x14ac:dyDescent="0.2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V118" s="4"/>
    </row>
    <row r="119" spans="1:22" ht="12.75" customHeight="1" x14ac:dyDescent="0.2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V119" s="4"/>
    </row>
    <row r="120" spans="1:22" ht="12.75" customHeight="1" x14ac:dyDescent="0.2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V120" s="4"/>
    </row>
    <row r="121" spans="1:22" ht="12.75" customHeight="1" x14ac:dyDescent="0.2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V121" s="4"/>
    </row>
    <row r="122" spans="1:22" ht="12.75" customHeight="1" x14ac:dyDescent="0.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V122" s="4"/>
    </row>
    <row r="123" spans="1:22" ht="12.75" customHeight="1" x14ac:dyDescent="0.2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4"/>
    </row>
    <row r="124" spans="1:22" ht="12.75" customHeight="1" x14ac:dyDescent="0.2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V124" s="4"/>
    </row>
    <row r="125" spans="1:22" ht="12.75" customHeight="1" x14ac:dyDescent="0.2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4"/>
    </row>
    <row r="126" spans="1:22" ht="12.75" customHeight="1" x14ac:dyDescent="0.2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4"/>
    </row>
    <row r="127" spans="1:22" ht="12.75" customHeight="1" x14ac:dyDescent="0.2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4"/>
    </row>
    <row r="128" spans="1:22" ht="12.75" customHeight="1" x14ac:dyDescent="0.2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V128" s="4"/>
    </row>
    <row r="129" spans="1:22" ht="12.75" customHeight="1" x14ac:dyDescent="0.2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V129" s="4"/>
    </row>
    <row r="130" spans="1:22" ht="12.75" customHeight="1" x14ac:dyDescent="0.2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V130" s="4"/>
    </row>
    <row r="131" spans="1:22" ht="12.75" customHeight="1" x14ac:dyDescent="0.2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V131" s="4"/>
    </row>
    <row r="132" spans="1:22" ht="12.75" customHeight="1" x14ac:dyDescent="0.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V132" s="4"/>
    </row>
    <row r="133" spans="1:22" ht="12.75" customHeight="1" x14ac:dyDescent="0.2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V133" s="4"/>
    </row>
    <row r="134" spans="1:22" ht="12.75" customHeight="1" x14ac:dyDescent="0.2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V134" s="4"/>
    </row>
    <row r="135" spans="1:22" ht="12.75" customHeight="1" x14ac:dyDescent="0.2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V135" s="4"/>
    </row>
    <row r="136" spans="1:22" ht="12.75" customHeight="1" x14ac:dyDescent="0.2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V136" s="4"/>
    </row>
    <row r="137" spans="1:22" ht="12.75" customHeight="1" x14ac:dyDescent="0.2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V137" s="4"/>
    </row>
    <row r="138" spans="1:22" ht="12.75" customHeight="1" x14ac:dyDescent="0.2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V138" s="4"/>
    </row>
    <row r="139" spans="1:22" ht="12.75" customHeight="1" x14ac:dyDescent="0.2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V139" s="4"/>
    </row>
    <row r="140" spans="1:22" ht="12.75" customHeight="1" x14ac:dyDescent="0.2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V140" s="4"/>
    </row>
    <row r="141" spans="1:22" ht="12.75" customHeight="1" x14ac:dyDescent="0.2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V141" s="4"/>
    </row>
    <row r="142" spans="1:22" ht="12.75" customHeight="1" x14ac:dyDescent="0.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V142" s="4"/>
    </row>
    <row r="143" spans="1:22" ht="12.75" customHeight="1" x14ac:dyDescent="0.2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V143" s="4"/>
    </row>
    <row r="144" spans="1:22" ht="12.75" customHeight="1" x14ac:dyDescent="0.2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V144" s="4"/>
    </row>
    <row r="145" spans="1:31" ht="12.75" customHeight="1" x14ac:dyDescent="0.2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V145" s="4"/>
    </row>
    <row r="146" spans="1:31" ht="12.75" customHeight="1" x14ac:dyDescent="0.2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V146" s="4"/>
    </row>
    <row r="147" spans="1:31" ht="12.75" customHeight="1" x14ac:dyDescent="0.2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V147" s="4"/>
    </row>
    <row r="148" spans="1:31" ht="12.75" customHeight="1" x14ac:dyDescent="0.2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V148" s="4"/>
    </row>
    <row r="149" spans="1:31" ht="12.75" customHeight="1" x14ac:dyDescent="0.2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V149" s="4"/>
    </row>
    <row r="150" spans="1:31" ht="12.75" customHeight="1" x14ac:dyDescent="0.2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V150" s="4"/>
    </row>
    <row r="151" spans="1:31" ht="12.75" customHeight="1" x14ac:dyDescent="0.2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4"/>
    </row>
    <row r="152" spans="1:31" ht="12.75" customHeight="1" x14ac:dyDescent="0.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4"/>
    </row>
    <row r="153" spans="1:31" ht="12.75" customHeight="1" x14ac:dyDescent="0.2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4"/>
    </row>
    <row r="154" spans="1:31" ht="12.75" customHeight="1" x14ac:dyDescent="0.2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V154" s="4"/>
    </row>
    <row r="155" spans="1:31" ht="12.75" customHeight="1" x14ac:dyDescent="0.2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4"/>
    </row>
    <row r="156" spans="1:31" ht="12.75" customHeight="1" x14ac:dyDescent="0.2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4"/>
    </row>
    <row r="157" spans="1:31" ht="12.75" customHeight="1" x14ac:dyDescent="0.2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4"/>
    </row>
    <row r="158" spans="1:31" ht="12.75" customHeight="1" x14ac:dyDescent="0.2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V158" s="4"/>
    </row>
    <row r="159" spans="1:31" ht="12.75" customHeight="1" x14ac:dyDescent="0.2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4"/>
    </row>
    <row r="160" spans="1:31" ht="12.75" customHeight="1" x14ac:dyDescent="0.2">
      <c r="A160" s="3"/>
      <c r="B160" s="2"/>
      <c r="C160" s="3"/>
      <c r="D160" s="3"/>
      <c r="E160" s="3"/>
      <c r="F160" s="3"/>
      <c r="G160" s="3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207"/>
      <c r="T160" s="3"/>
      <c r="U160" s="3"/>
      <c r="V160" s="17"/>
      <c r="W160" s="3"/>
      <c r="X160" s="3"/>
      <c r="Y160" s="3"/>
      <c r="Z160" s="3"/>
      <c r="AA160" s="3"/>
      <c r="AB160" s="3"/>
      <c r="AC160" s="3"/>
      <c r="AD160" s="3"/>
      <c r="AE160" s="3"/>
    </row>
  </sheetData>
  <mergeCells count="2">
    <mergeCell ref="I9:R9"/>
    <mergeCell ref="I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/>
  </sheetViews>
  <sheetFormatPr defaultColWidth="17.28515625" defaultRowHeight="15.75" customHeight="1" x14ac:dyDescent="0.2"/>
  <cols>
    <col min="1" max="1" width="6.7109375" customWidth="1"/>
    <col min="2" max="2" width="7.7109375" customWidth="1"/>
    <col min="3" max="4" width="6.140625" customWidth="1"/>
    <col min="5" max="5" width="21.42578125" customWidth="1"/>
    <col min="6" max="6" width="8.140625" customWidth="1"/>
    <col min="7" max="7" width="7.7109375" customWidth="1"/>
    <col min="8" max="8" width="9.5703125" customWidth="1"/>
    <col min="9" max="9" width="7.7109375" customWidth="1"/>
    <col min="10" max="10" width="9.5703125" customWidth="1"/>
    <col min="11" max="11" width="16" customWidth="1"/>
    <col min="12" max="12" width="15.140625" customWidth="1"/>
    <col min="13" max="13" width="17.42578125" hidden="1" customWidth="1"/>
    <col min="14" max="14" width="19.140625" hidden="1" customWidth="1"/>
    <col min="15" max="15" width="24.7109375" customWidth="1"/>
  </cols>
  <sheetData>
    <row r="1" spans="1:15" ht="45" customHeight="1" x14ac:dyDescent="0.25">
      <c r="A1" s="233" t="s">
        <v>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2.75" customHeight="1" x14ac:dyDescent="0.2">
      <c r="A2" s="228" t="s">
        <v>2</v>
      </c>
      <c r="B2" s="220"/>
      <c r="C2" s="220"/>
      <c r="D2" s="229" t="s">
        <v>3</v>
      </c>
      <c r="E2" s="220"/>
      <c r="F2" s="220"/>
      <c r="G2" s="220"/>
      <c r="H2" s="220"/>
      <c r="I2" s="232" t="s">
        <v>4</v>
      </c>
      <c r="J2" s="220"/>
      <c r="K2" s="220"/>
      <c r="L2" s="220"/>
      <c r="M2" s="220"/>
      <c r="N2" s="220"/>
      <c r="O2" s="220"/>
    </row>
    <row r="3" spans="1:15" ht="12.75" customHeight="1" x14ac:dyDescent="0.2">
      <c r="A3" s="228" t="s">
        <v>6</v>
      </c>
      <c r="B3" s="220"/>
      <c r="C3" s="220"/>
      <c r="D3" s="228" t="s">
        <v>7</v>
      </c>
      <c r="E3" s="220"/>
      <c r="F3" s="220"/>
      <c r="G3" s="220"/>
      <c r="H3" s="220"/>
      <c r="I3" s="228" t="s">
        <v>8</v>
      </c>
      <c r="J3" s="220"/>
      <c r="K3" s="220"/>
      <c r="L3" s="220"/>
      <c r="M3" s="220"/>
      <c r="N3" s="220"/>
      <c r="O3" s="220"/>
    </row>
    <row r="4" spans="1:15" ht="12.75" customHeight="1" x14ac:dyDescent="0.2">
      <c r="A4" s="228" t="s">
        <v>9</v>
      </c>
      <c r="B4" s="220"/>
      <c r="C4" s="220"/>
      <c r="D4" s="227" t="s">
        <v>10</v>
      </c>
      <c r="E4" s="220"/>
      <c r="F4" s="220"/>
      <c r="G4" s="220"/>
      <c r="H4" s="220"/>
      <c r="I4" s="227" t="s">
        <v>12</v>
      </c>
      <c r="J4" s="220"/>
      <c r="K4" s="220"/>
      <c r="L4" s="220"/>
      <c r="M4" s="220"/>
      <c r="N4" s="220"/>
      <c r="O4" s="220"/>
    </row>
    <row r="5" spans="1:15" ht="12.75" customHeight="1" x14ac:dyDescent="0.2">
      <c r="A5" s="2"/>
      <c r="B5" s="2"/>
      <c r="C5" s="2"/>
      <c r="D5" s="2"/>
      <c r="E5" s="2"/>
      <c r="F5" s="2"/>
      <c r="G5" s="2"/>
      <c r="H5" s="2"/>
      <c r="I5" s="228" t="s">
        <v>13</v>
      </c>
      <c r="J5" s="220"/>
      <c r="K5" s="220"/>
      <c r="L5" s="9" t="s">
        <v>14</v>
      </c>
      <c r="M5" s="15" t="str">
        <f>HLOOKUP(L5,'коначна табела финал'!E10:Q12,3,FALSE)</f>
        <v>2</v>
      </c>
      <c r="N5" s="17"/>
      <c r="O5" s="20">
        <f>HLOOKUP(L5,'коначна табела финал'!I10:Q12,2,FALSE)</f>
        <v>0</v>
      </c>
    </row>
    <row r="6" spans="1:15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 x14ac:dyDescent="0.2">
      <c r="A7" s="230" t="s">
        <v>21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4.5" customHeight="1" x14ac:dyDescent="0.2">
      <c r="A10" s="224" t="s">
        <v>23</v>
      </c>
      <c r="B10" s="224" t="s">
        <v>27</v>
      </c>
      <c r="C10" s="224" t="s">
        <v>28</v>
      </c>
      <c r="D10" s="226" t="s">
        <v>30</v>
      </c>
      <c r="E10" s="224" t="s">
        <v>31</v>
      </c>
      <c r="F10" s="25" t="s">
        <v>32</v>
      </c>
      <c r="G10" s="231" t="s">
        <v>33</v>
      </c>
      <c r="H10" s="222"/>
      <c r="I10" s="231" t="s">
        <v>35</v>
      </c>
      <c r="J10" s="222"/>
      <c r="K10" s="27" t="s">
        <v>36</v>
      </c>
      <c r="L10" s="29" t="s">
        <v>38</v>
      </c>
      <c r="M10" s="29"/>
      <c r="N10" s="29"/>
      <c r="O10" s="224" t="s">
        <v>40</v>
      </c>
    </row>
    <row r="11" spans="1:15" ht="12" customHeight="1" x14ac:dyDescent="0.2">
      <c r="A11" s="225"/>
      <c r="B11" s="225"/>
      <c r="C11" s="225"/>
      <c r="D11" s="225"/>
      <c r="E11" s="225"/>
      <c r="F11" s="29" t="s">
        <v>42</v>
      </c>
      <c r="G11" s="29" t="s">
        <v>42</v>
      </c>
      <c r="H11" s="29" t="s">
        <v>43</v>
      </c>
      <c r="I11" s="29" t="s">
        <v>42</v>
      </c>
      <c r="J11" s="29" t="s">
        <v>43</v>
      </c>
      <c r="K11" s="29" t="s">
        <v>42</v>
      </c>
      <c r="L11" s="29" t="s">
        <v>42</v>
      </c>
      <c r="M11" s="33" t="s">
        <v>44</v>
      </c>
      <c r="N11" s="33" t="s">
        <v>45</v>
      </c>
      <c r="O11" s="225"/>
    </row>
    <row r="12" spans="1:15" ht="12.75" customHeight="1" x14ac:dyDescent="0.2">
      <c r="A12" s="35">
        <v>1</v>
      </c>
      <c r="B12" s="37"/>
      <c r="C12" s="42" t="e">
        <f>VLOOKUP(B12,'коначна табела финал'!$B$1:$AC$100,21,FALSE)</f>
        <v>#N/A</v>
      </c>
      <c r="D12" s="45" t="e">
        <f>VLOOKUP(B12,'коначна табела финал'!$B$1:$AC$100,20,FALSE)</f>
        <v>#N/A</v>
      </c>
      <c r="E12" s="48" t="e">
        <f>VLOOKUP(B12,'коначна табела финал'!$B$1:$V$100,2,FALSE)</f>
        <v>#N/A</v>
      </c>
      <c r="F12" s="53" t="e">
        <f>VLOOKUP(B12,'коначна табела финал'!$B$1:$AC$100,4,FALSE)</f>
        <v>#N/A</v>
      </c>
      <c r="G12" s="53" t="e">
        <f>IF(VLOOKUP(B12,'коначна табела финал'!$B$1:$AC$100,6,FALSE)&gt;10,VLOOKUP(B12,'коначна табела финал'!$B$1:$AC$100,5,FALSE),0)</f>
        <v>#N/A</v>
      </c>
      <c r="H12" s="57">
        <f>'коначна табела финал'!$F$11</f>
        <v>0</v>
      </c>
      <c r="I12" s="53" t="e">
        <f>IF(VLOOKUP(B12,'коначна табела финал'!$B$1:$AC$100,7,FALSE)&gt;10,VLOOKUP(B12,'коначна табела финал'!$B$1:$AC$100,6,FALSE),0)</f>
        <v>#N/A</v>
      </c>
      <c r="J12" s="57">
        <f>'коначна табела финал'!$G$11</f>
        <v>0</v>
      </c>
      <c r="K12" s="64" t="e">
        <f>VLOOKUP(B12,'коначна табела финал'!$B$13:$AA$96,$M$5+7,FALSE)</f>
        <v>#N/A</v>
      </c>
      <c r="L12" s="67" t="e">
        <f>IF(K12="није полагао/ла","није полагао/ла",VLOOKUP(B12,'коначна табела финал'!$B$13:$AA$96,18,FALSE))</f>
        <v>#N/A</v>
      </c>
      <c r="M12" s="69" t="e">
        <f t="shared" ref="M12:M63" si="0">IF(AND(ISNUMBER(K12),C12="С"),L12,"-")</f>
        <v>#N/A</v>
      </c>
      <c r="N12" s="69" t="e">
        <f t="shared" ref="N12:N63" si="1">IF(AND(ISNUMBER(K12),C12="О"),L12,"-")</f>
        <v>#N/A</v>
      </c>
      <c r="O12" s="45" t="e">
        <f t="shared" ref="O12:O63" si="2">IF(L12="нема услов","нема услов",IF(L12="није полагао/ла","није полагао/ла",IF(L12="није положио/ла","5/Ф (није положио/ла)",IF(L12&gt;90.9,"10/A (изузетан одличан)",IF(L12&gt;80.9,"9/Б (одличан)",IF(L12&gt;70.9,"8/Ц (врло добар)",IF(L12&gt;60.9,"7/Д (добар)",IF(L12&gt;50.9,"6/Е (довољан)","5/Ф (није положио)"))))))))</f>
        <v>#N/A</v>
      </c>
    </row>
    <row r="13" spans="1:15" ht="12.75" customHeight="1" x14ac:dyDescent="0.2">
      <c r="A13" s="35">
        <v>2</v>
      </c>
      <c r="B13" s="37"/>
      <c r="C13" s="42" t="e">
        <f>VLOOKUP(B13,'коначна табела финал'!$B$1:$AC$100,21,FALSE)</f>
        <v>#N/A</v>
      </c>
      <c r="D13" s="45" t="e">
        <f>VLOOKUP(B13,'коначна табела финал'!$B$1:$AC$100,20,FALSE)</f>
        <v>#N/A</v>
      </c>
      <c r="E13" s="48" t="e">
        <f>VLOOKUP(B13,'коначна табела финал'!$B$1:$V$100,2,FALSE)</f>
        <v>#N/A</v>
      </c>
      <c r="F13" s="53" t="e">
        <f>VLOOKUP(B13,'коначна табела финал'!$B$1:$AC$100,4,FALSE)</f>
        <v>#N/A</v>
      </c>
      <c r="G13" s="53" t="e">
        <f>IF(VLOOKUP(B13,'коначна табела финал'!$B$1:$AC$100,6,FALSE)&gt;10,VLOOKUP(B13,'коначна табела финал'!$B$1:$AC$100,5,FALSE),0)</f>
        <v>#N/A</v>
      </c>
      <c r="H13" s="57">
        <f>'коначна табела финал'!$F$11</f>
        <v>0</v>
      </c>
      <c r="I13" s="53" t="e">
        <f>IF(VLOOKUP(B13,'коначна табела финал'!$B$1:$AC$100,7,FALSE)&gt;10,VLOOKUP(B13,'коначна табела финал'!$B$1:$AC$100,6,FALSE),0)</f>
        <v>#N/A</v>
      </c>
      <c r="J13" s="57">
        <f>'коначна табела финал'!$G$11</f>
        <v>0</v>
      </c>
      <c r="K13" s="64" t="e">
        <f>VLOOKUP(B13,'коначна табела финал'!$B$13:$AA$96,$M$5+7,FALSE)</f>
        <v>#N/A</v>
      </c>
      <c r="L13" s="67" t="e">
        <f>IF(K13="није полагао/ла","није полагао/ла",VLOOKUP(B13,'коначна табела финал'!$B$13:$AA$96,18,FALSE))</f>
        <v>#N/A</v>
      </c>
      <c r="M13" s="69" t="e">
        <f t="shared" si="0"/>
        <v>#N/A</v>
      </c>
      <c r="N13" s="69" t="e">
        <f t="shared" si="1"/>
        <v>#N/A</v>
      </c>
      <c r="O13" s="45" t="e">
        <f t="shared" si="2"/>
        <v>#N/A</v>
      </c>
    </row>
    <row r="14" spans="1:15" ht="12.75" customHeight="1" x14ac:dyDescent="0.2">
      <c r="A14" s="35">
        <v>3</v>
      </c>
      <c r="B14" s="37"/>
      <c r="C14" s="42" t="e">
        <f>VLOOKUP(B14,'коначна табела финал'!$B$1:$AC$100,21,FALSE)</f>
        <v>#N/A</v>
      </c>
      <c r="D14" s="45" t="e">
        <f>VLOOKUP(B14,'коначна табела финал'!$B$1:$AC$100,20,FALSE)</f>
        <v>#N/A</v>
      </c>
      <c r="E14" s="48" t="e">
        <f>VLOOKUP(B14,'коначна табела финал'!$B$1:$V$100,2,FALSE)</f>
        <v>#N/A</v>
      </c>
      <c r="F14" s="53" t="e">
        <f>VLOOKUP(B14,'коначна табела финал'!$B$1:$AC$100,4,FALSE)</f>
        <v>#N/A</v>
      </c>
      <c r="G14" s="53" t="e">
        <f>IF(VLOOKUP(B14,'коначна табела финал'!$B$1:$AC$100,6,FALSE)&gt;10,VLOOKUP(B14,'коначна табела финал'!$B$1:$AC$100,5,FALSE),0)</f>
        <v>#N/A</v>
      </c>
      <c r="H14" s="57">
        <f>'коначна табела финал'!$F$11</f>
        <v>0</v>
      </c>
      <c r="I14" s="53" t="e">
        <f>IF(VLOOKUP(B14,'коначна табела финал'!$B$1:$AC$100,7,FALSE)&gt;10,VLOOKUP(B14,'коначна табела финал'!$B$1:$AC$100,6,FALSE),0)</f>
        <v>#N/A</v>
      </c>
      <c r="J14" s="57">
        <f>'коначна табела финал'!$G$11</f>
        <v>0</v>
      </c>
      <c r="K14" s="64" t="e">
        <f>VLOOKUP(B14,'коначна табела финал'!$B$13:$AA$96,$M$5+7,FALSE)</f>
        <v>#N/A</v>
      </c>
      <c r="L14" s="67" t="e">
        <f>IF(K14="није полагао/ла","није полагао/ла",VLOOKUP(B14,'коначна табела финал'!$B$13:$AA$96,18,FALSE))</f>
        <v>#N/A</v>
      </c>
      <c r="M14" s="69" t="e">
        <f t="shared" si="0"/>
        <v>#N/A</v>
      </c>
      <c r="N14" s="69" t="e">
        <f t="shared" si="1"/>
        <v>#N/A</v>
      </c>
      <c r="O14" s="45" t="e">
        <f t="shared" si="2"/>
        <v>#N/A</v>
      </c>
    </row>
    <row r="15" spans="1:15" ht="12.75" customHeight="1" x14ac:dyDescent="0.2">
      <c r="A15" s="35">
        <v>4</v>
      </c>
      <c r="B15" s="37"/>
      <c r="C15" s="42" t="e">
        <f>VLOOKUP(B15,'коначна табела финал'!$B$1:$AC$100,21,FALSE)</f>
        <v>#N/A</v>
      </c>
      <c r="D15" s="45" t="e">
        <f>VLOOKUP(B15,'коначна табела финал'!$B$1:$AC$100,20,FALSE)</f>
        <v>#N/A</v>
      </c>
      <c r="E15" s="48" t="e">
        <f>VLOOKUP(B15,'коначна табела финал'!$B$1:$V$100,2,FALSE)</f>
        <v>#N/A</v>
      </c>
      <c r="F15" s="53" t="e">
        <f>VLOOKUP(B15,'коначна табела финал'!$B$1:$AC$100,4,FALSE)</f>
        <v>#N/A</v>
      </c>
      <c r="G15" s="53" t="e">
        <f>IF(VLOOKUP(B15,'коначна табела финал'!$B$1:$AC$100,6,FALSE)&gt;10,VLOOKUP(B15,'коначна табела финал'!$B$1:$AC$100,5,FALSE),0)</f>
        <v>#N/A</v>
      </c>
      <c r="H15" s="57">
        <f>'коначна табела финал'!$F$11</f>
        <v>0</v>
      </c>
      <c r="I15" s="53" t="e">
        <f>IF(VLOOKUP(B15,'коначна табела финал'!$B$1:$AC$100,7,FALSE)&gt;10,VLOOKUP(B15,'коначна табела финал'!$B$1:$AC$100,6,FALSE),0)</f>
        <v>#N/A</v>
      </c>
      <c r="J15" s="57">
        <f>'коначна табела финал'!$G$11</f>
        <v>0</v>
      </c>
      <c r="K15" s="64" t="e">
        <f>VLOOKUP(B15,'коначна табела финал'!$B$13:$AA$96,$M$5+7,FALSE)</f>
        <v>#N/A</v>
      </c>
      <c r="L15" s="67" t="e">
        <f>IF(K15="није полагао/ла","није полагао/ла",VLOOKUP(B15,'коначна табела финал'!$B$13:$AA$96,18,FALSE))</f>
        <v>#N/A</v>
      </c>
      <c r="M15" s="69" t="e">
        <f t="shared" si="0"/>
        <v>#N/A</v>
      </c>
      <c r="N15" s="69" t="e">
        <f t="shared" si="1"/>
        <v>#N/A</v>
      </c>
      <c r="O15" s="45" t="e">
        <f t="shared" si="2"/>
        <v>#N/A</v>
      </c>
    </row>
    <row r="16" spans="1:15" ht="12.75" customHeight="1" x14ac:dyDescent="0.2">
      <c r="A16" s="35">
        <v>5</v>
      </c>
      <c r="B16" s="37"/>
      <c r="C16" s="42" t="e">
        <f>VLOOKUP(B16,'коначна табела финал'!$B$1:$AC$100,21,FALSE)</f>
        <v>#N/A</v>
      </c>
      <c r="D16" s="45" t="e">
        <f>VLOOKUP(B16,'коначна табела финал'!$B$1:$AC$100,20,FALSE)</f>
        <v>#N/A</v>
      </c>
      <c r="E16" s="48" t="e">
        <f>VLOOKUP(B16,'коначна табела финал'!$B$1:$V$100,2,FALSE)</f>
        <v>#N/A</v>
      </c>
      <c r="F16" s="53" t="e">
        <f>VLOOKUP(B16,'коначна табела финал'!$B$1:$AC$100,4,FALSE)</f>
        <v>#N/A</v>
      </c>
      <c r="G16" s="53" t="e">
        <f>IF(VLOOKUP(B16,'коначна табела финал'!$B$1:$AC$100,6,FALSE)&gt;10,VLOOKUP(B16,'коначна табела финал'!$B$1:$AC$100,5,FALSE),0)</f>
        <v>#N/A</v>
      </c>
      <c r="H16" s="57">
        <f>'коначна табела финал'!$F$11</f>
        <v>0</v>
      </c>
      <c r="I16" s="53" t="e">
        <f>IF(VLOOKUP(B16,'коначна табела финал'!$B$1:$AC$100,7,FALSE)&gt;10,VLOOKUP(B16,'коначна табела финал'!$B$1:$AC$100,6,FALSE),0)</f>
        <v>#N/A</v>
      </c>
      <c r="J16" s="57">
        <f>'коначна табела финал'!$G$11</f>
        <v>0</v>
      </c>
      <c r="K16" s="64" t="e">
        <f>VLOOKUP(B16,'коначна табела финал'!$B$13:$AA$96,$M$5+7,FALSE)</f>
        <v>#N/A</v>
      </c>
      <c r="L16" s="67" t="e">
        <f>IF(K16="није полагао/ла","није полагао/ла",VLOOKUP(B16,'коначна табела финал'!$B$13:$AA$96,18,FALSE))</f>
        <v>#N/A</v>
      </c>
      <c r="M16" s="69" t="e">
        <f t="shared" si="0"/>
        <v>#N/A</v>
      </c>
      <c r="N16" s="69" t="e">
        <f t="shared" si="1"/>
        <v>#N/A</v>
      </c>
      <c r="O16" s="45" t="e">
        <f t="shared" si="2"/>
        <v>#N/A</v>
      </c>
    </row>
    <row r="17" spans="1:15" ht="12.75" customHeight="1" x14ac:dyDescent="0.2">
      <c r="A17" s="35">
        <v>6</v>
      </c>
      <c r="B17" s="37"/>
      <c r="C17" s="42" t="e">
        <f>VLOOKUP(B17,'коначна табела финал'!$B$1:$AC$100,21,FALSE)</f>
        <v>#N/A</v>
      </c>
      <c r="D17" s="45" t="e">
        <f>VLOOKUP(B17,'коначна табела финал'!$B$1:$AC$100,20,FALSE)</f>
        <v>#N/A</v>
      </c>
      <c r="E17" s="48" t="e">
        <f>VLOOKUP(B17,'коначна табела финал'!$B$1:$V$100,2,FALSE)</f>
        <v>#N/A</v>
      </c>
      <c r="F17" s="53" t="e">
        <f>VLOOKUP(B17,'коначна табела финал'!$B$1:$AC$100,4,FALSE)</f>
        <v>#N/A</v>
      </c>
      <c r="G17" s="53" t="e">
        <f>IF(VLOOKUP(B17,'коначна табела финал'!$B$1:$AC$100,6,FALSE)&gt;10,VLOOKUP(B17,'коначна табела финал'!$B$1:$AC$100,5,FALSE),0)</f>
        <v>#N/A</v>
      </c>
      <c r="H17" s="57">
        <f>'коначна табела финал'!$F$11</f>
        <v>0</v>
      </c>
      <c r="I17" s="53" t="e">
        <f>IF(VLOOKUP(B17,'коначна табела финал'!$B$1:$AC$100,7,FALSE)&gt;10,VLOOKUP(B17,'коначна табела финал'!$B$1:$AC$100,6,FALSE),0)</f>
        <v>#N/A</v>
      </c>
      <c r="J17" s="57">
        <f>'коначна табела финал'!$G$11</f>
        <v>0</v>
      </c>
      <c r="K17" s="64" t="e">
        <f>VLOOKUP(B17,'коначна табела финал'!$B$13:$AA$96,$M$5+7,FALSE)</f>
        <v>#N/A</v>
      </c>
      <c r="L17" s="67" t="e">
        <f>IF(K17="није полагао/ла","није полагао/ла",VLOOKUP(B17,'коначна табела финал'!$B$13:$AA$96,18,FALSE))</f>
        <v>#N/A</v>
      </c>
      <c r="M17" s="69" t="e">
        <f t="shared" si="0"/>
        <v>#N/A</v>
      </c>
      <c r="N17" s="69" t="e">
        <f t="shared" si="1"/>
        <v>#N/A</v>
      </c>
      <c r="O17" s="45" t="e">
        <f t="shared" si="2"/>
        <v>#N/A</v>
      </c>
    </row>
    <row r="18" spans="1:15" ht="12.75" customHeight="1" x14ac:dyDescent="0.2">
      <c r="A18" s="35">
        <v>7</v>
      </c>
      <c r="B18" s="37"/>
      <c r="C18" s="42" t="e">
        <f>VLOOKUP(B18,'коначна табела финал'!$B$1:$AC$100,21,FALSE)</f>
        <v>#N/A</v>
      </c>
      <c r="D18" s="45" t="e">
        <f>VLOOKUP(B18,'коначна табела финал'!$B$1:$AC$100,20,FALSE)</f>
        <v>#N/A</v>
      </c>
      <c r="E18" s="48" t="e">
        <f>VLOOKUP(B18,'коначна табела финал'!$B$1:$V$100,2,FALSE)</f>
        <v>#N/A</v>
      </c>
      <c r="F18" s="53" t="e">
        <f>VLOOKUP(B18,'коначна табела финал'!$B$1:$AC$100,4,FALSE)</f>
        <v>#N/A</v>
      </c>
      <c r="G18" s="53" t="e">
        <f>IF(VLOOKUP(B18,'коначна табела финал'!$B$1:$AC$100,6,FALSE)&gt;10,VLOOKUP(B18,'коначна табела финал'!$B$1:$AC$100,5,FALSE),0)</f>
        <v>#N/A</v>
      </c>
      <c r="H18" s="57">
        <f>'коначна табела финал'!$F$11</f>
        <v>0</v>
      </c>
      <c r="I18" s="53" t="e">
        <f>IF(VLOOKUP(B18,'коначна табела финал'!$B$1:$AC$100,7,FALSE)&gt;10,VLOOKUP(B18,'коначна табела финал'!$B$1:$AC$100,6,FALSE),0)</f>
        <v>#N/A</v>
      </c>
      <c r="J18" s="57">
        <f>'коначна табела финал'!$G$11</f>
        <v>0</v>
      </c>
      <c r="K18" s="64" t="e">
        <f>VLOOKUP(B18,'коначна табела финал'!$B$13:$AA$96,$M$5+7,FALSE)</f>
        <v>#N/A</v>
      </c>
      <c r="L18" s="67" t="e">
        <f>IF(K18="није полагао/ла","није полагао/ла",VLOOKUP(B18,'коначна табела финал'!$B$13:$AA$96,18,FALSE))</f>
        <v>#N/A</v>
      </c>
      <c r="M18" s="69" t="e">
        <f t="shared" si="0"/>
        <v>#N/A</v>
      </c>
      <c r="N18" s="69" t="e">
        <f t="shared" si="1"/>
        <v>#N/A</v>
      </c>
      <c r="O18" s="45" t="e">
        <f t="shared" si="2"/>
        <v>#N/A</v>
      </c>
    </row>
    <row r="19" spans="1:15" ht="12.75" customHeight="1" x14ac:dyDescent="0.2">
      <c r="A19" s="35">
        <v>8</v>
      </c>
      <c r="B19" s="37"/>
      <c r="C19" s="42" t="e">
        <f>VLOOKUP(B19,'коначна табела финал'!$B$1:$AC$100,21,FALSE)</f>
        <v>#N/A</v>
      </c>
      <c r="D19" s="45" t="e">
        <f>VLOOKUP(B19,'коначна табела финал'!$B$1:$AC$100,20,FALSE)</f>
        <v>#N/A</v>
      </c>
      <c r="E19" s="48" t="e">
        <f>VLOOKUP(B19,'коначна табела финал'!$B$1:$V$100,2,FALSE)</f>
        <v>#N/A</v>
      </c>
      <c r="F19" s="53" t="e">
        <f>VLOOKUP(B19,'коначна табела финал'!$B$1:$AC$100,4,FALSE)</f>
        <v>#N/A</v>
      </c>
      <c r="G19" s="53" t="e">
        <f>IF(VLOOKUP(B19,'коначна табела финал'!$B$1:$AC$100,6,FALSE)&gt;10,VLOOKUP(B19,'коначна табела финал'!$B$1:$AC$100,5,FALSE),0)</f>
        <v>#N/A</v>
      </c>
      <c r="H19" s="57">
        <f>'коначна табела финал'!$F$11</f>
        <v>0</v>
      </c>
      <c r="I19" s="53" t="e">
        <f>IF(VLOOKUP(B19,'коначна табела финал'!$B$1:$AC$100,7,FALSE)&gt;10,VLOOKUP(B19,'коначна табела финал'!$B$1:$AC$100,6,FALSE),0)</f>
        <v>#N/A</v>
      </c>
      <c r="J19" s="57">
        <f>'коначна табела финал'!$G$11</f>
        <v>0</v>
      </c>
      <c r="K19" s="64" t="e">
        <f>VLOOKUP(B19,'коначна табела финал'!$B$13:$AA$96,$M$5+7,FALSE)</f>
        <v>#N/A</v>
      </c>
      <c r="L19" s="67" t="e">
        <f>IF(K19="није полагао/ла","није полагао/ла",VLOOKUP(B19,'коначна табела финал'!$B$13:$AA$96,18,FALSE))</f>
        <v>#N/A</v>
      </c>
      <c r="M19" s="69" t="e">
        <f t="shared" si="0"/>
        <v>#N/A</v>
      </c>
      <c r="N19" s="69" t="e">
        <f t="shared" si="1"/>
        <v>#N/A</v>
      </c>
      <c r="O19" s="45" t="e">
        <f t="shared" si="2"/>
        <v>#N/A</v>
      </c>
    </row>
    <row r="20" spans="1:15" ht="12.75" customHeight="1" x14ac:dyDescent="0.2">
      <c r="A20" s="35">
        <v>9</v>
      </c>
      <c r="B20" s="37"/>
      <c r="C20" s="42" t="e">
        <f>VLOOKUP(B20,'коначна табела финал'!$B$1:$AC$100,21,FALSE)</f>
        <v>#N/A</v>
      </c>
      <c r="D20" s="45" t="e">
        <f>VLOOKUP(B20,'коначна табела финал'!$B$1:$AC$100,20,FALSE)</f>
        <v>#N/A</v>
      </c>
      <c r="E20" s="48" t="e">
        <f>VLOOKUP(B20,'коначна табела финал'!$B$1:$V$100,2,FALSE)</f>
        <v>#N/A</v>
      </c>
      <c r="F20" s="53" t="e">
        <f>VLOOKUP(B20,'коначна табела финал'!$B$1:$AC$100,4,FALSE)</f>
        <v>#N/A</v>
      </c>
      <c r="G20" s="53" t="e">
        <f>IF(VLOOKUP(B20,'коначна табела финал'!$B$1:$AC$100,6,FALSE)&gt;10,VLOOKUP(B20,'коначна табела финал'!$B$1:$AC$100,5,FALSE),0)</f>
        <v>#N/A</v>
      </c>
      <c r="H20" s="57">
        <f>'коначна табела финал'!$F$11</f>
        <v>0</v>
      </c>
      <c r="I20" s="53" t="e">
        <f>IF(VLOOKUP(B20,'коначна табела финал'!$B$1:$AC$100,7,FALSE)&gt;10,VLOOKUP(B20,'коначна табела финал'!$B$1:$AC$100,6,FALSE),0)</f>
        <v>#N/A</v>
      </c>
      <c r="J20" s="57">
        <f>'коначна табела финал'!$G$11</f>
        <v>0</v>
      </c>
      <c r="K20" s="64" t="e">
        <f>VLOOKUP(B20,'коначна табела финал'!$B$13:$AA$96,$M$5+7,FALSE)</f>
        <v>#N/A</v>
      </c>
      <c r="L20" s="67" t="e">
        <f>IF(K20="није полагао/ла","није полагао/ла",VLOOKUP(B20,'коначна табела финал'!$B$13:$AA$96,18,FALSE))</f>
        <v>#N/A</v>
      </c>
      <c r="M20" s="69" t="e">
        <f t="shared" si="0"/>
        <v>#N/A</v>
      </c>
      <c r="N20" s="69" t="e">
        <f t="shared" si="1"/>
        <v>#N/A</v>
      </c>
      <c r="O20" s="45" t="e">
        <f t="shared" si="2"/>
        <v>#N/A</v>
      </c>
    </row>
    <row r="21" spans="1:15" ht="12.75" customHeight="1" x14ac:dyDescent="0.2">
      <c r="A21" s="35">
        <v>10</v>
      </c>
      <c r="B21" s="37"/>
      <c r="C21" s="42" t="e">
        <f>VLOOKUP(B21,'коначна табела финал'!$B$1:$AC$100,21,FALSE)</f>
        <v>#N/A</v>
      </c>
      <c r="D21" s="45" t="e">
        <f>VLOOKUP(B21,'коначна табела финал'!$B$1:$AC$100,20,FALSE)</f>
        <v>#N/A</v>
      </c>
      <c r="E21" s="86" t="e">
        <f>VLOOKUP(B21,'коначна табела финал'!$B$1:$V$100,2,FALSE)</f>
        <v>#N/A</v>
      </c>
      <c r="F21" s="53" t="e">
        <f>VLOOKUP(B21,'коначна табела финал'!$B$1:$AC$100,4,FALSE)</f>
        <v>#N/A</v>
      </c>
      <c r="G21" s="53" t="e">
        <f>IF(VLOOKUP(B21,'коначна табела финал'!$B$1:$AC$100,6,FALSE)&gt;10,VLOOKUP(B21,'коначна табела финал'!$B$1:$AC$100,5,FALSE),0)</f>
        <v>#N/A</v>
      </c>
      <c r="H21" s="57">
        <f>'коначна табела финал'!$F$11</f>
        <v>0</v>
      </c>
      <c r="I21" s="53" t="e">
        <f>IF(VLOOKUP(B21,'коначна табела финал'!$B$1:$AC$100,7,FALSE)&gt;10,VLOOKUP(B21,'коначна табела финал'!$B$1:$AC$100,6,FALSE),0)</f>
        <v>#N/A</v>
      </c>
      <c r="J21" s="57">
        <f>'коначна табела финал'!$G$11</f>
        <v>0</v>
      </c>
      <c r="K21" s="64" t="e">
        <f>VLOOKUP(B21,'коначна табела финал'!$B$13:$AA$96,$M$5+7,FALSE)</f>
        <v>#N/A</v>
      </c>
      <c r="L21" s="67" t="e">
        <f>IF(K21="није полагао/ла","није полагао/ла",VLOOKUP(B21,'коначна табела финал'!$B$13:$AA$96,18,FALSE))</f>
        <v>#N/A</v>
      </c>
      <c r="M21" s="69" t="e">
        <f t="shared" si="0"/>
        <v>#N/A</v>
      </c>
      <c r="N21" s="69" t="e">
        <f t="shared" si="1"/>
        <v>#N/A</v>
      </c>
      <c r="O21" s="45" t="e">
        <f t="shared" si="2"/>
        <v>#N/A</v>
      </c>
    </row>
    <row r="22" spans="1:15" ht="12.75" customHeight="1" x14ac:dyDescent="0.2">
      <c r="A22" s="35">
        <v>11</v>
      </c>
      <c r="B22" s="37"/>
      <c r="C22" s="42" t="e">
        <f>VLOOKUP(B22,'коначна табела финал'!$B$1:$AC$100,21,FALSE)</f>
        <v>#N/A</v>
      </c>
      <c r="D22" s="45" t="e">
        <f>VLOOKUP(B22,'коначна табела финал'!$B$1:$AC$100,20,FALSE)</f>
        <v>#N/A</v>
      </c>
      <c r="E22" s="48" t="e">
        <f>VLOOKUP(B22,'коначна табела финал'!$B$1:$V$100,2,FALSE)</f>
        <v>#N/A</v>
      </c>
      <c r="F22" s="53" t="e">
        <f>VLOOKUP(B22,'коначна табела финал'!$B$1:$AC$100,4,FALSE)</f>
        <v>#N/A</v>
      </c>
      <c r="G22" s="53" t="e">
        <f>IF(VLOOKUP(B22,'коначна табела финал'!$B$1:$AC$100,6,FALSE)&gt;10,VLOOKUP(B22,'коначна табела финал'!$B$1:$AC$100,5,FALSE),0)</f>
        <v>#N/A</v>
      </c>
      <c r="H22" s="57">
        <f>'коначна табела финал'!$F$11</f>
        <v>0</v>
      </c>
      <c r="I22" s="53" t="e">
        <f>IF(VLOOKUP(B22,'коначна табела финал'!$B$1:$AC$100,7,FALSE)&gt;10,VLOOKUP(B22,'коначна табела финал'!$B$1:$AC$100,6,FALSE),0)</f>
        <v>#N/A</v>
      </c>
      <c r="J22" s="57">
        <f>'коначна табела финал'!$G$11</f>
        <v>0</v>
      </c>
      <c r="K22" s="64" t="e">
        <f>VLOOKUP(B22,'коначна табела финал'!$B$13:$AA$96,$M$5+7,FALSE)</f>
        <v>#N/A</v>
      </c>
      <c r="L22" s="67" t="e">
        <f>IF(K22="није полагао/ла","није полагао/ла",VLOOKUP(B22,'коначна табела финал'!$B$13:$AA$96,18,FALSE))</f>
        <v>#N/A</v>
      </c>
      <c r="M22" s="69" t="e">
        <f t="shared" si="0"/>
        <v>#N/A</v>
      </c>
      <c r="N22" s="69" t="e">
        <f t="shared" si="1"/>
        <v>#N/A</v>
      </c>
      <c r="O22" s="45" t="e">
        <f t="shared" si="2"/>
        <v>#N/A</v>
      </c>
    </row>
    <row r="23" spans="1:15" ht="12.75" customHeight="1" x14ac:dyDescent="0.2">
      <c r="A23" s="35">
        <v>12</v>
      </c>
      <c r="B23" s="37"/>
      <c r="C23" s="42" t="e">
        <f>VLOOKUP(B23,'коначна табела финал'!$B$1:$AC$100,21,FALSE)</f>
        <v>#N/A</v>
      </c>
      <c r="D23" s="45" t="e">
        <f>VLOOKUP(B23,'коначна табела финал'!$B$1:$AC$100,20,FALSE)</f>
        <v>#N/A</v>
      </c>
      <c r="E23" s="48" t="e">
        <f>VLOOKUP(B23,'коначна табела финал'!$B$1:$V$100,2,FALSE)</f>
        <v>#N/A</v>
      </c>
      <c r="F23" s="53" t="e">
        <f>VLOOKUP(B23,'коначна табела финал'!$B$1:$AC$100,4,FALSE)</f>
        <v>#N/A</v>
      </c>
      <c r="G23" s="53" t="e">
        <f>IF(VLOOKUP(B23,'коначна табела финал'!$B$1:$AC$100,6,FALSE)&gt;10,VLOOKUP(B23,'коначна табела финал'!$B$1:$AC$100,5,FALSE),0)</f>
        <v>#N/A</v>
      </c>
      <c r="H23" s="57">
        <f>'коначна табела финал'!$F$11</f>
        <v>0</v>
      </c>
      <c r="I23" s="53" t="e">
        <f>IF(VLOOKUP(B23,'коначна табела финал'!$B$1:$AC$100,7,FALSE)&gt;10,VLOOKUP(B23,'коначна табела финал'!$B$1:$AC$100,6,FALSE),0)</f>
        <v>#N/A</v>
      </c>
      <c r="J23" s="57">
        <f>'коначна табела финал'!$G$11</f>
        <v>0</v>
      </c>
      <c r="K23" s="64" t="e">
        <f>VLOOKUP(B23,'коначна табела финал'!$B$13:$AA$96,$M$5+7,FALSE)</f>
        <v>#N/A</v>
      </c>
      <c r="L23" s="67" t="e">
        <f>IF(K23="није полагао/ла","није полагао/ла",VLOOKUP(B23,'коначна табела финал'!$B$13:$AA$96,18,FALSE))</f>
        <v>#N/A</v>
      </c>
      <c r="M23" s="69" t="e">
        <f t="shared" si="0"/>
        <v>#N/A</v>
      </c>
      <c r="N23" s="69" t="e">
        <f t="shared" si="1"/>
        <v>#N/A</v>
      </c>
      <c r="O23" s="45" t="e">
        <f t="shared" si="2"/>
        <v>#N/A</v>
      </c>
    </row>
    <row r="24" spans="1:15" ht="12.75" customHeight="1" x14ac:dyDescent="0.2">
      <c r="A24" s="35">
        <v>13</v>
      </c>
      <c r="B24" s="37"/>
      <c r="C24" s="42" t="e">
        <f>VLOOKUP(B24,'коначна табела финал'!$B$1:$AC$100,21,FALSE)</f>
        <v>#N/A</v>
      </c>
      <c r="D24" s="45" t="e">
        <f>VLOOKUP(B24,'коначна табела финал'!$B$1:$AC$100,20,FALSE)</f>
        <v>#N/A</v>
      </c>
      <c r="E24" s="48" t="e">
        <f>VLOOKUP(B24,'коначна табела финал'!$B$1:$V$100,2,FALSE)</f>
        <v>#N/A</v>
      </c>
      <c r="F24" s="53" t="e">
        <f>VLOOKUP(B24,'коначна табела финал'!$B$1:$AC$100,4,FALSE)</f>
        <v>#N/A</v>
      </c>
      <c r="G24" s="53" t="e">
        <f>IF(VLOOKUP(B24,'коначна табела финал'!$B$1:$AC$100,6,FALSE)&gt;10,VLOOKUP(B24,'коначна табела финал'!$B$1:$AC$100,5,FALSE),0)</f>
        <v>#N/A</v>
      </c>
      <c r="H24" s="57">
        <f>'коначна табела финал'!$F$11</f>
        <v>0</v>
      </c>
      <c r="I24" s="53" t="e">
        <f>IF(VLOOKUP(B24,'коначна табела финал'!$B$1:$AC$100,7,FALSE)&gt;10,VLOOKUP(B24,'коначна табела финал'!$B$1:$AC$100,6,FALSE),0)</f>
        <v>#N/A</v>
      </c>
      <c r="J24" s="57">
        <f>'коначна табела финал'!$G$11</f>
        <v>0</v>
      </c>
      <c r="K24" s="64" t="e">
        <f>VLOOKUP(B24,'коначна табела финал'!$B$13:$AA$96,$M$5+7,FALSE)</f>
        <v>#N/A</v>
      </c>
      <c r="L24" s="67" t="e">
        <f>IF(K24="није полагао/ла","није полагао/ла",VLOOKUP(B24,'коначна табела финал'!$B$13:$AA$96,18,FALSE))</f>
        <v>#N/A</v>
      </c>
      <c r="M24" s="69" t="e">
        <f t="shared" si="0"/>
        <v>#N/A</v>
      </c>
      <c r="N24" s="69" t="e">
        <f t="shared" si="1"/>
        <v>#N/A</v>
      </c>
      <c r="O24" s="45" t="e">
        <f t="shared" si="2"/>
        <v>#N/A</v>
      </c>
    </row>
    <row r="25" spans="1:15" ht="12.75" customHeight="1" x14ac:dyDescent="0.2">
      <c r="A25" s="35">
        <v>14</v>
      </c>
      <c r="B25" s="37"/>
      <c r="C25" s="42" t="e">
        <f>VLOOKUP(B25,'коначна табела финал'!$B$1:$AC$100,21,FALSE)</f>
        <v>#N/A</v>
      </c>
      <c r="D25" s="45" t="e">
        <f>VLOOKUP(B25,'коначна табела финал'!$B$1:$AC$100,20,FALSE)</f>
        <v>#N/A</v>
      </c>
      <c r="E25" s="48" t="e">
        <f>VLOOKUP(B25,'коначна табела финал'!$B$1:$V$100,2,FALSE)</f>
        <v>#N/A</v>
      </c>
      <c r="F25" s="53" t="e">
        <f>VLOOKUP(B25,'коначна табела финал'!$B$1:$AC$100,4,FALSE)</f>
        <v>#N/A</v>
      </c>
      <c r="G25" s="53" t="e">
        <f>IF(VLOOKUP(B25,'коначна табела финал'!$B$1:$AC$100,6,FALSE)&gt;10,VLOOKUP(B25,'коначна табела финал'!$B$1:$AC$100,5,FALSE),0)</f>
        <v>#N/A</v>
      </c>
      <c r="H25" s="57">
        <f>'коначна табела финал'!$F$11</f>
        <v>0</v>
      </c>
      <c r="I25" s="53" t="e">
        <f>IF(VLOOKUP(B25,'коначна табела финал'!$B$1:$AC$100,7,FALSE)&gt;10,VLOOKUP(B25,'коначна табела финал'!$B$1:$AC$100,6,FALSE),0)</f>
        <v>#N/A</v>
      </c>
      <c r="J25" s="57">
        <f>'коначна табела финал'!$G$11</f>
        <v>0</v>
      </c>
      <c r="K25" s="64" t="e">
        <f>VLOOKUP(B25,'коначна табела финал'!$B$13:$AA$96,$M$5+7,FALSE)</f>
        <v>#N/A</v>
      </c>
      <c r="L25" s="67" t="e">
        <f>IF(K25="није полагао/ла","није полагао/ла",VLOOKUP(B25,'коначна табела финал'!$B$13:$AA$96,18,FALSE))</f>
        <v>#N/A</v>
      </c>
      <c r="M25" s="69" t="e">
        <f t="shared" si="0"/>
        <v>#N/A</v>
      </c>
      <c r="N25" s="69" t="e">
        <f t="shared" si="1"/>
        <v>#N/A</v>
      </c>
      <c r="O25" s="45" t="e">
        <f t="shared" si="2"/>
        <v>#N/A</v>
      </c>
    </row>
    <row r="26" spans="1:15" ht="12.75" customHeight="1" x14ac:dyDescent="0.2">
      <c r="A26" s="35">
        <v>15</v>
      </c>
      <c r="B26" s="37"/>
      <c r="C26" s="42" t="e">
        <f>VLOOKUP(B26,'коначна табела финал'!$B$1:$AC$100,21,FALSE)</f>
        <v>#N/A</v>
      </c>
      <c r="D26" s="45" t="e">
        <f>VLOOKUP(B26,'коначна табела финал'!$B$1:$AC$100,20,FALSE)</f>
        <v>#N/A</v>
      </c>
      <c r="E26" s="48" t="e">
        <f>VLOOKUP(B26,'коначна табела финал'!$B$1:$V$100,2,FALSE)</f>
        <v>#N/A</v>
      </c>
      <c r="F26" s="53" t="e">
        <f>VLOOKUP(B26,'коначна табела финал'!$B$1:$AC$100,4,FALSE)</f>
        <v>#N/A</v>
      </c>
      <c r="G26" s="53" t="e">
        <f>IF(VLOOKUP(B26,'коначна табела финал'!$B$1:$AC$100,6,FALSE)&gt;10,VLOOKUP(B26,'коначна табела финал'!$B$1:$AC$100,5,FALSE),0)</f>
        <v>#N/A</v>
      </c>
      <c r="H26" s="57">
        <f>'коначна табела финал'!$F$11</f>
        <v>0</v>
      </c>
      <c r="I26" s="53" t="e">
        <f>IF(VLOOKUP(B26,'коначна табела финал'!$B$1:$AC$100,7,FALSE)&gt;10,VLOOKUP(B26,'коначна табела финал'!$B$1:$AC$100,6,FALSE),0)</f>
        <v>#N/A</v>
      </c>
      <c r="J26" s="57">
        <f>'коначна табела финал'!$G$11</f>
        <v>0</v>
      </c>
      <c r="K26" s="64" t="e">
        <f>VLOOKUP(B26,'коначна табела финал'!$B$13:$AA$96,$M$5+7,FALSE)</f>
        <v>#N/A</v>
      </c>
      <c r="L26" s="67" t="e">
        <f>IF(K26="није полагао/ла","није полагао/ла",VLOOKUP(B26,'коначна табела финал'!$B$13:$AA$96,18,FALSE))</f>
        <v>#N/A</v>
      </c>
      <c r="M26" s="69" t="e">
        <f t="shared" si="0"/>
        <v>#N/A</v>
      </c>
      <c r="N26" s="69" t="e">
        <f t="shared" si="1"/>
        <v>#N/A</v>
      </c>
      <c r="O26" s="45" t="e">
        <f t="shared" si="2"/>
        <v>#N/A</v>
      </c>
    </row>
    <row r="27" spans="1:15" ht="12.75" customHeight="1" x14ac:dyDescent="0.2">
      <c r="A27" s="35">
        <v>16</v>
      </c>
      <c r="B27" s="37"/>
      <c r="C27" s="42" t="e">
        <f>VLOOKUP(B27,'коначна табела финал'!$B$1:$AC$100,21,FALSE)</f>
        <v>#N/A</v>
      </c>
      <c r="D27" s="45" t="e">
        <f>VLOOKUP(B27,'коначна табела финал'!$B$1:$AC$100,20,FALSE)</f>
        <v>#N/A</v>
      </c>
      <c r="E27" s="48" t="e">
        <f>VLOOKUP(B27,'коначна табела финал'!$B$1:$V$100,2,FALSE)</f>
        <v>#N/A</v>
      </c>
      <c r="F27" s="53" t="e">
        <f>VLOOKUP(B27,'коначна табела финал'!$B$1:$AC$100,4,FALSE)</f>
        <v>#N/A</v>
      </c>
      <c r="G27" s="53" t="e">
        <f>IF(VLOOKUP(B27,'коначна табела финал'!$B$1:$AC$100,6,FALSE)&gt;10,VLOOKUP(B27,'коначна табела финал'!$B$1:$AC$100,5,FALSE),0)</f>
        <v>#N/A</v>
      </c>
      <c r="H27" s="57">
        <f>'коначна табела финал'!$F$11</f>
        <v>0</v>
      </c>
      <c r="I27" s="53" t="e">
        <f>IF(VLOOKUP(B27,'коначна табела финал'!$B$1:$AC$100,7,FALSE)&gt;10,VLOOKUP(B27,'коначна табела финал'!$B$1:$AC$100,6,FALSE),0)</f>
        <v>#N/A</v>
      </c>
      <c r="J27" s="57">
        <f>'коначна табела финал'!$G$11</f>
        <v>0</v>
      </c>
      <c r="K27" s="64" t="e">
        <f>VLOOKUP(B27,'коначна табела финал'!$B$13:$AA$96,$M$5+7,FALSE)</f>
        <v>#N/A</v>
      </c>
      <c r="L27" s="67" t="e">
        <f>IF(K27="није полагао/ла","није полагао/ла",VLOOKUP(B27,'коначна табела финал'!$B$13:$AA$96,18,FALSE))</f>
        <v>#N/A</v>
      </c>
      <c r="M27" s="69" t="e">
        <f t="shared" si="0"/>
        <v>#N/A</v>
      </c>
      <c r="N27" s="69" t="e">
        <f t="shared" si="1"/>
        <v>#N/A</v>
      </c>
      <c r="O27" s="45" t="e">
        <f t="shared" si="2"/>
        <v>#N/A</v>
      </c>
    </row>
    <row r="28" spans="1:15" ht="12.75" customHeight="1" x14ac:dyDescent="0.2">
      <c r="A28" s="35">
        <v>17</v>
      </c>
      <c r="B28" s="37"/>
      <c r="C28" s="42" t="e">
        <f>VLOOKUP(B28,'коначна табела финал'!$B$1:$AC$100,21,FALSE)</f>
        <v>#N/A</v>
      </c>
      <c r="D28" s="45" t="e">
        <f>VLOOKUP(B28,'коначна табела финал'!$B$1:$AC$100,20,FALSE)</f>
        <v>#N/A</v>
      </c>
      <c r="E28" s="86" t="e">
        <f>VLOOKUP(B28,'коначна табела финал'!$B$1:$V$100,2,FALSE)</f>
        <v>#N/A</v>
      </c>
      <c r="F28" s="53" t="e">
        <f>VLOOKUP(B28,'коначна табела финал'!$B$1:$AC$100,4,FALSE)</f>
        <v>#N/A</v>
      </c>
      <c r="G28" s="53" t="e">
        <f>IF(VLOOKUP(B28,'коначна табела финал'!$B$1:$AC$100,6,FALSE)&gt;10,VLOOKUP(B28,'коначна табела финал'!$B$1:$AC$100,5,FALSE),0)</f>
        <v>#N/A</v>
      </c>
      <c r="H28" s="57">
        <f>'коначна табела финал'!$F$11</f>
        <v>0</v>
      </c>
      <c r="I28" s="53" t="e">
        <f>IF(VLOOKUP(B28,'коначна табела финал'!$B$1:$AC$100,7,FALSE)&gt;10,VLOOKUP(B28,'коначна табела финал'!$B$1:$AC$100,6,FALSE),0)</f>
        <v>#N/A</v>
      </c>
      <c r="J28" s="57">
        <f>'коначна табела финал'!$G$11</f>
        <v>0</v>
      </c>
      <c r="K28" s="64" t="e">
        <f>VLOOKUP(B28,'коначна табела финал'!$B$13:$AA$96,$M$5+7,FALSE)</f>
        <v>#N/A</v>
      </c>
      <c r="L28" s="67" t="e">
        <f>IF(K28="није полагао/ла","није полагао/ла",VLOOKUP(B28,'коначна табела финал'!$B$13:$AA$96,18,FALSE))</f>
        <v>#N/A</v>
      </c>
      <c r="M28" s="69" t="e">
        <f t="shared" si="0"/>
        <v>#N/A</v>
      </c>
      <c r="N28" s="69" t="e">
        <f t="shared" si="1"/>
        <v>#N/A</v>
      </c>
      <c r="O28" s="45" t="e">
        <f t="shared" si="2"/>
        <v>#N/A</v>
      </c>
    </row>
    <row r="29" spans="1:15" ht="12.75" customHeight="1" x14ac:dyDescent="0.2">
      <c r="A29" s="35">
        <v>18</v>
      </c>
      <c r="B29" s="37"/>
      <c r="C29" s="42" t="e">
        <f>VLOOKUP(B29,'коначна табела финал'!$B$1:$AC$100,21,FALSE)</f>
        <v>#N/A</v>
      </c>
      <c r="D29" s="45" t="e">
        <f>VLOOKUP(B29,'коначна табела финал'!$B$1:$AC$100,20,FALSE)</f>
        <v>#N/A</v>
      </c>
      <c r="E29" s="48" t="e">
        <f>VLOOKUP(B29,'коначна табела финал'!$B$1:$V$100,2,FALSE)</f>
        <v>#N/A</v>
      </c>
      <c r="F29" s="53" t="e">
        <f>VLOOKUP(B29,'коначна табела финал'!$B$1:$AC$100,4,FALSE)</f>
        <v>#N/A</v>
      </c>
      <c r="G29" s="53" t="e">
        <f>IF(VLOOKUP(B29,'коначна табела финал'!$B$1:$AC$100,6,FALSE)&gt;10,VLOOKUP(B29,'коначна табела финал'!$B$1:$AC$100,5,FALSE),0)</f>
        <v>#N/A</v>
      </c>
      <c r="H29" s="57">
        <f>'коначна табела финал'!$F$11</f>
        <v>0</v>
      </c>
      <c r="I29" s="53" t="e">
        <f>IF(VLOOKUP(B29,'коначна табела финал'!$B$1:$AC$100,7,FALSE)&gt;10,VLOOKUP(B29,'коначна табела финал'!$B$1:$AC$100,6,FALSE),0)</f>
        <v>#N/A</v>
      </c>
      <c r="J29" s="57">
        <f>'коначна табела финал'!$G$11</f>
        <v>0</v>
      </c>
      <c r="K29" s="64" t="e">
        <f>VLOOKUP(B29,'коначна табела финал'!$B$13:$AA$96,$M$5+7,FALSE)</f>
        <v>#N/A</v>
      </c>
      <c r="L29" s="67" t="e">
        <f>IF(K29="није полагао/ла","није полагао/ла",VLOOKUP(B29,'коначна табела финал'!$B$13:$AA$96,18,FALSE))</f>
        <v>#N/A</v>
      </c>
      <c r="M29" s="69" t="e">
        <f t="shared" si="0"/>
        <v>#N/A</v>
      </c>
      <c r="N29" s="69" t="e">
        <f t="shared" si="1"/>
        <v>#N/A</v>
      </c>
      <c r="O29" s="45" t="e">
        <f t="shared" si="2"/>
        <v>#N/A</v>
      </c>
    </row>
    <row r="30" spans="1:15" ht="12.75" customHeight="1" x14ac:dyDescent="0.2">
      <c r="A30" s="35">
        <v>19</v>
      </c>
      <c r="B30" s="37"/>
      <c r="C30" s="42" t="e">
        <f>VLOOKUP(B30,'коначна табела финал'!$B$1:$AC$100,21,FALSE)</f>
        <v>#N/A</v>
      </c>
      <c r="D30" s="45" t="e">
        <f>VLOOKUP(B30,'коначна табела финал'!$B$1:$AC$100,20,FALSE)</f>
        <v>#N/A</v>
      </c>
      <c r="E30" s="48" t="e">
        <f>VLOOKUP(B30,'коначна табела финал'!$B$1:$V$100,2,FALSE)</f>
        <v>#N/A</v>
      </c>
      <c r="F30" s="53" t="e">
        <f>VLOOKUP(B30,'коначна табела финал'!$B$1:$AC$100,4,FALSE)</f>
        <v>#N/A</v>
      </c>
      <c r="G30" s="53" t="e">
        <f>IF(VLOOKUP(B30,'коначна табела финал'!$B$1:$AC$100,6,FALSE)&gt;10,VLOOKUP(B30,'коначна табела финал'!$B$1:$AC$100,5,FALSE),0)</f>
        <v>#N/A</v>
      </c>
      <c r="H30" s="57">
        <f>'коначна табела финал'!$F$11</f>
        <v>0</v>
      </c>
      <c r="I30" s="53" t="e">
        <f>IF(VLOOKUP(B30,'коначна табела финал'!$B$1:$AC$100,7,FALSE)&gt;10,VLOOKUP(B30,'коначна табела финал'!$B$1:$AC$100,6,FALSE),0)</f>
        <v>#N/A</v>
      </c>
      <c r="J30" s="57">
        <f>'коначна табела финал'!$G$11</f>
        <v>0</v>
      </c>
      <c r="K30" s="64" t="e">
        <f>VLOOKUP(B30,'коначна табела финал'!$B$13:$AA$96,$M$5+7,FALSE)</f>
        <v>#N/A</v>
      </c>
      <c r="L30" s="67" t="e">
        <f>IF(K30="није полагао/ла","није полагао/ла",VLOOKUP(B30,'коначна табела финал'!$B$13:$AA$96,18,FALSE))</f>
        <v>#N/A</v>
      </c>
      <c r="M30" s="69" t="e">
        <f t="shared" si="0"/>
        <v>#N/A</v>
      </c>
      <c r="N30" s="69" t="e">
        <f t="shared" si="1"/>
        <v>#N/A</v>
      </c>
      <c r="O30" s="45" t="e">
        <f t="shared" si="2"/>
        <v>#N/A</v>
      </c>
    </row>
    <row r="31" spans="1:15" ht="12.75" customHeight="1" x14ac:dyDescent="0.2">
      <c r="A31" s="35">
        <v>20</v>
      </c>
      <c r="B31" s="37"/>
      <c r="C31" s="42" t="e">
        <f>VLOOKUP(B31,'коначна табела финал'!$B$1:$AC$100,21,FALSE)</f>
        <v>#N/A</v>
      </c>
      <c r="D31" s="45" t="e">
        <f>VLOOKUP(B31,'коначна табела финал'!$B$1:$AC$100,20,FALSE)</f>
        <v>#N/A</v>
      </c>
      <c r="E31" s="48" t="e">
        <f>VLOOKUP(B31,'коначна табела финал'!$B$1:$V$100,2,FALSE)</f>
        <v>#N/A</v>
      </c>
      <c r="F31" s="53" t="e">
        <f>VLOOKUP(B31,'коначна табела финал'!$B$1:$AC$100,4,FALSE)</f>
        <v>#N/A</v>
      </c>
      <c r="G31" s="53" t="e">
        <f>IF(VLOOKUP(B31,'коначна табела финал'!$B$1:$AC$100,6,FALSE)&gt;10,VLOOKUP(B31,'коначна табела финал'!$B$1:$AC$100,5,FALSE),0)</f>
        <v>#N/A</v>
      </c>
      <c r="H31" s="57">
        <f>'коначна табела финал'!$F$11</f>
        <v>0</v>
      </c>
      <c r="I31" s="53" t="e">
        <f>IF(VLOOKUP(B31,'коначна табела финал'!$B$1:$AC$100,7,FALSE)&gt;10,VLOOKUP(B31,'коначна табела финал'!$B$1:$AC$100,6,FALSE),0)</f>
        <v>#N/A</v>
      </c>
      <c r="J31" s="57">
        <f>'коначна табела финал'!$G$11</f>
        <v>0</v>
      </c>
      <c r="K31" s="64" t="e">
        <f>VLOOKUP(B31,'коначна табела финал'!$B$13:$AA$96,$M$5+7,FALSE)</f>
        <v>#N/A</v>
      </c>
      <c r="L31" s="67" t="e">
        <f>IF(K31="није полагао/ла","није полагао/ла",VLOOKUP(B31,'коначна табела финал'!$B$13:$AA$96,18,FALSE))</f>
        <v>#N/A</v>
      </c>
      <c r="M31" s="69" t="e">
        <f t="shared" si="0"/>
        <v>#N/A</v>
      </c>
      <c r="N31" s="69" t="e">
        <f t="shared" si="1"/>
        <v>#N/A</v>
      </c>
      <c r="O31" s="45" t="e">
        <f t="shared" si="2"/>
        <v>#N/A</v>
      </c>
    </row>
    <row r="32" spans="1:15" ht="12.75" customHeight="1" x14ac:dyDescent="0.2">
      <c r="A32" s="35">
        <v>21</v>
      </c>
      <c r="B32" s="37"/>
      <c r="C32" s="42" t="e">
        <f>VLOOKUP(B32,'коначна табела финал'!$B$1:$AC$100,21,FALSE)</f>
        <v>#N/A</v>
      </c>
      <c r="D32" s="45" t="e">
        <f>VLOOKUP(B32,'коначна табела финал'!$B$1:$AC$100,20,FALSE)</f>
        <v>#N/A</v>
      </c>
      <c r="E32" s="48" t="e">
        <f>VLOOKUP(B32,'коначна табела финал'!$B$1:$V$100,2,FALSE)</f>
        <v>#N/A</v>
      </c>
      <c r="F32" s="53" t="e">
        <f>VLOOKUP(B32,'коначна табела финал'!$B$1:$AC$100,4,FALSE)</f>
        <v>#N/A</v>
      </c>
      <c r="G32" s="53" t="e">
        <f>IF(VLOOKUP(B32,'коначна табела финал'!$B$1:$AC$100,6,FALSE)&gt;10,VLOOKUP(B32,'коначна табела финал'!$B$1:$AC$100,5,FALSE),0)</f>
        <v>#N/A</v>
      </c>
      <c r="H32" s="57">
        <f>'коначна табела финал'!$F$11</f>
        <v>0</v>
      </c>
      <c r="I32" s="53" t="e">
        <f>IF(VLOOKUP(B32,'коначна табела финал'!$B$1:$AC$100,7,FALSE)&gt;10,VLOOKUP(B32,'коначна табела финал'!$B$1:$AC$100,6,FALSE),0)</f>
        <v>#N/A</v>
      </c>
      <c r="J32" s="57">
        <f>'коначна табела финал'!$G$11</f>
        <v>0</v>
      </c>
      <c r="K32" s="64" t="e">
        <f>VLOOKUP(B32,'коначна табела финал'!$B$13:$AA$96,$M$5+7,FALSE)</f>
        <v>#N/A</v>
      </c>
      <c r="L32" s="67" t="e">
        <f>IF(K32="није полагао/ла","није полагао/ла",VLOOKUP(B32,'коначна табела финал'!$B$13:$AA$96,18,FALSE))</f>
        <v>#N/A</v>
      </c>
      <c r="M32" s="69" t="e">
        <f t="shared" si="0"/>
        <v>#N/A</v>
      </c>
      <c r="N32" s="69" t="e">
        <f t="shared" si="1"/>
        <v>#N/A</v>
      </c>
      <c r="O32" s="45" t="e">
        <f t="shared" si="2"/>
        <v>#N/A</v>
      </c>
    </row>
    <row r="33" spans="1:15" ht="12.75" customHeight="1" x14ac:dyDescent="0.2">
      <c r="A33" s="35">
        <v>22</v>
      </c>
      <c r="B33" s="37"/>
      <c r="C33" s="42" t="e">
        <f>VLOOKUP(B33,'коначна табела финал'!$B$1:$AC$100,21,FALSE)</f>
        <v>#N/A</v>
      </c>
      <c r="D33" s="45" t="e">
        <f>VLOOKUP(B33,'коначна табела финал'!$B$1:$AC$100,20,FALSE)</f>
        <v>#N/A</v>
      </c>
      <c r="E33" s="48" t="e">
        <f>VLOOKUP(B33,'коначна табела финал'!$B$1:$V$100,2,FALSE)</f>
        <v>#N/A</v>
      </c>
      <c r="F33" s="53" t="e">
        <f>VLOOKUP(B33,'коначна табела финал'!$B$1:$AC$100,4,FALSE)</f>
        <v>#N/A</v>
      </c>
      <c r="G33" s="53" t="e">
        <f>IF(VLOOKUP(B33,'коначна табела финал'!$B$1:$AC$100,6,FALSE)&gt;10,VLOOKUP(B33,'коначна табела финал'!$B$1:$AC$100,5,FALSE),0)</f>
        <v>#N/A</v>
      </c>
      <c r="H33" s="57">
        <f>'коначна табела финал'!$F$11</f>
        <v>0</v>
      </c>
      <c r="I33" s="53" t="e">
        <f>IF(VLOOKUP(B33,'коначна табела финал'!$B$1:$AC$100,7,FALSE)&gt;10,VLOOKUP(B33,'коначна табела финал'!$B$1:$AC$100,6,FALSE),0)</f>
        <v>#N/A</v>
      </c>
      <c r="J33" s="57">
        <f>'коначна табела финал'!$G$11</f>
        <v>0</v>
      </c>
      <c r="K33" s="64" t="e">
        <f>VLOOKUP(B33,'коначна табела финал'!$B$13:$AA$96,$M$5+7,FALSE)</f>
        <v>#N/A</v>
      </c>
      <c r="L33" s="67" t="e">
        <f>IF(K33="није полагао/ла","није полагао/ла",VLOOKUP(B33,'коначна табела финал'!$B$13:$AA$96,18,FALSE))</f>
        <v>#N/A</v>
      </c>
      <c r="M33" s="69" t="e">
        <f t="shared" si="0"/>
        <v>#N/A</v>
      </c>
      <c r="N33" s="69" t="e">
        <f t="shared" si="1"/>
        <v>#N/A</v>
      </c>
      <c r="O33" s="45" t="e">
        <f t="shared" si="2"/>
        <v>#N/A</v>
      </c>
    </row>
    <row r="34" spans="1:15" ht="12.75" customHeight="1" x14ac:dyDescent="0.2">
      <c r="A34" s="35">
        <v>23</v>
      </c>
      <c r="B34" s="37"/>
      <c r="C34" s="42" t="e">
        <f>VLOOKUP(B34,'коначна табела финал'!$B$1:$AC$100,21,FALSE)</f>
        <v>#N/A</v>
      </c>
      <c r="D34" s="45" t="e">
        <f>VLOOKUP(B34,'коначна табела финал'!$B$1:$AC$100,20,FALSE)</f>
        <v>#N/A</v>
      </c>
      <c r="E34" s="86" t="e">
        <f>VLOOKUP(B34,'коначна табела финал'!$B$1:$V$100,2,FALSE)</f>
        <v>#N/A</v>
      </c>
      <c r="F34" s="53" t="e">
        <f>VLOOKUP(B34,'коначна табела финал'!$B$1:$AC$100,4,FALSE)</f>
        <v>#N/A</v>
      </c>
      <c r="G34" s="53" t="e">
        <f>IF(VLOOKUP(B34,'коначна табела финал'!$B$1:$AC$100,6,FALSE)&gt;10,VLOOKUP(B34,'коначна табела финал'!$B$1:$AC$100,5,FALSE),0)</f>
        <v>#N/A</v>
      </c>
      <c r="H34" s="57">
        <f>'коначна табела финал'!$F$11</f>
        <v>0</v>
      </c>
      <c r="I34" s="53" t="e">
        <f>IF(VLOOKUP(B34,'коначна табела финал'!$B$1:$AC$100,7,FALSE)&gt;10,VLOOKUP(B34,'коначна табела финал'!$B$1:$AC$100,6,FALSE),0)</f>
        <v>#N/A</v>
      </c>
      <c r="J34" s="57">
        <f>'коначна табела финал'!$G$11</f>
        <v>0</v>
      </c>
      <c r="K34" s="64" t="e">
        <f>VLOOKUP(B34,'коначна табела финал'!$B$13:$AA$96,$M$5+7,FALSE)</f>
        <v>#N/A</v>
      </c>
      <c r="L34" s="67" t="e">
        <f>IF(K34="није полагао/ла","није полагао/ла",VLOOKUP(B34,'коначна табела финал'!$B$13:$AA$96,18,FALSE))</f>
        <v>#N/A</v>
      </c>
      <c r="M34" s="69" t="e">
        <f t="shared" si="0"/>
        <v>#N/A</v>
      </c>
      <c r="N34" s="69" t="e">
        <f t="shared" si="1"/>
        <v>#N/A</v>
      </c>
      <c r="O34" s="45" t="e">
        <f t="shared" si="2"/>
        <v>#N/A</v>
      </c>
    </row>
    <row r="35" spans="1:15" ht="12.75" customHeight="1" x14ac:dyDescent="0.2">
      <c r="A35" s="35">
        <v>24</v>
      </c>
      <c r="B35" s="37"/>
      <c r="C35" s="42" t="e">
        <f>VLOOKUP(B35,'коначна табела финал'!$B$1:$AC$100,21,FALSE)</f>
        <v>#N/A</v>
      </c>
      <c r="D35" s="45" t="e">
        <f>VLOOKUP(B35,'коначна табела финал'!$B$1:$AC$100,20,FALSE)</f>
        <v>#N/A</v>
      </c>
      <c r="E35" s="86" t="e">
        <f>VLOOKUP(B35,'коначна табела финал'!$B$1:$V$100,2,FALSE)</f>
        <v>#N/A</v>
      </c>
      <c r="F35" s="53" t="e">
        <f>VLOOKUP(B35,'коначна табела финал'!$B$1:$AC$100,4,FALSE)</f>
        <v>#N/A</v>
      </c>
      <c r="G35" s="53" t="e">
        <f>IF(VLOOKUP(B35,'коначна табела финал'!$B$1:$AC$100,6,FALSE)&gt;10,VLOOKUP(B35,'коначна табела финал'!$B$1:$AC$100,5,FALSE),0)</f>
        <v>#N/A</v>
      </c>
      <c r="H35" s="57">
        <f>'коначна табела финал'!$F$11</f>
        <v>0</v>
      </c>
      <c r="I35" s="53" t="e">
        <f>IF(VLOOKUP(B35,'коначна табела финал'!$B$1:$AC$100,7,FALSE)&gt;10,VLOOKUP(B35,'коначна табела финал'!$B$1:$AC$100,6,FALSE),0)</f>
        <v>#N/A</v>
      </c>
      <c r="J35" s="57">
        <f>'коначна табела финал'!$G$11</f>
        <v>0</v>
      </c>
      <c r="K35" s="64" t="e">
        <f>VLOOKUP(B35,'коначна табела финал'!$B$13:$AA$96,$M$5+7,FALSE)</f>
        <v>#N/A</v>
      </c>
      <c r="L35" s="67" t="e">
        <f>IF(K35="није полагао/ла","није полагао/ла",VLOOKUP(B35,'коначна табела финал'!$B$13:$AA$96,18,FALSE))</f>
        <v>#N/A</v>
      </c>
      <c r="M35" s="69" t="e">
        <f t="shared" si="0"/>
        <v>#N/A</v>
      </c>
      <c r="N35" s="69" t="e">
        <f t="shared" si="1"/>
        <v>#N/A</v>
      </c>
      <c r="O35" s="45" t="e">
        <f t="shared" si="2"/>
        <v>#N/A</v>
      </c>
    </row>
    <row r="36" spans="1:15" ht="12.75" customHeight="1" x14ac:dyDescent="0.2">
      <c r="A36" s="35">
        <v>25</v>
      </c>
      <c r="B36" s="37"/>
      <c r="C36" s="42" t="e">
        <f>VLOOKUP(B36,'коначна табела финал'!$B$1:$AC$100,21,FALSE)</f>
        <v>#N/A</v>
      </c>
      <c r="D36" s="45" t="e">
        <f>VLOOKUP(B36,'коначна табела финал'!$B$1:$AC$100,20,FALSE)</f>
        <v>#N/A</v>
      </c>
      <c r="E36" s="48" t="e">
        <f>VLOOKUP(B36,'коначна табела финал'!$B$1:$V$100,2,FALSE)</f>
        <v>#N/A</v>
      </c>
      <c r="F36" s="53" t="e">
        <f>VLOOKUP(B36,'коначна табела финал'!$B$1:$AC$100,4,FALSE)</f>
        <v>#N/A</v>
      </c>
      <c r="G36" s="53" t="e">
        <f>IF(VLOOKUP(B36,'коначна табела финал'!$B$1:$AC$100,6,FALSE)&gt;10,VLOOKUP(B36,'коначна табела финал'!$B$1:$AC$100,5,FALSE),0)</f>
        <v>#N/A</v>
      </c>
      <c r="H36" s="57">
        <f>'коначна табела финал'!$F$11</f>
        <v>0</v>
      </c>
      <c r="I36" s="53" t="e">
        <f>IF(VLOOKUP(B36,'коначна табела финал'!$B$1:$AC$100,7,FALSE)&gt;10,VLOOKUP(B36,'коначна табела финал'!$B$1:$AC$100,6,FALSE),0)</f>
        <v>#N/A</v>
      </c>
      <c r="J36" s="57">
        <f>'коначна табела финал'!$G$11</f>
        <v>0</v>
      </c>
      <c r="K36" s="64" t="e">
        <f>VLOOKUP(B36,'коначна табела финал'!$B$13:$AA$96,$M$5+7,FALSE)</f>
        <v>#N/A</v>
      </c>
      <c r="L36" s="67" t="e">
        <f>IF(K36="није полагао/ла","није полагао/ла",VLOOKUP(B36,'коначна табела финал'!$B$13:$AA$96,18,FALSE))</f>
        <v>#N/A</v>
      </c>
      <c r="M36" s="69" t="e">
        <f t="shared" si="0"/>
        <v>#N/A</v>
      </c>
      <c r="N36" s="69" t="e">
        <f t="shared" si="1"/>
        <v>#N/A</v>
      </c>
      <c r="O36" s="45" t="e">
        <f t="shared" si="2"/>
        <v>#N/A</v>
      </c>
    </row>
    <row r="37" spans="1:15" ht="12.75" customHeight="1" x14ac:dyDescent="0.2">
      <c r="A37" s="35">
        <v>26</v>
      </c>
      <c r="B37" s="37"/>
      <c r="C37" s="42" t="e">
        <f>VLOOKUP(B37,'коначна табела финал'!$B$1:$AC$100,21,FALSE)</f>
        <v>#N/A</v>
      </c>
      <c r="D37" s="45" t="e">
        <f>VLOOKUP(B37,'коначна табела финал'!$B$1:$AC$100,20,FALSE)</f>
        <v>#N/A</v>
      </c>
      <c r="E37" s="48" t="e">
        <f>VLOOKUP(B37,'коначна табела финал'!$B$1:$V$100,2,FALSE)</f>
        <v>#N/A</v>
      </c>
      <c r="F37" s="53" t="e">
        <f>VLOOKUP(B37,'коначна табела финал'!$B$1:$AC$100,4,FALSE)</f>
        <v>#N/A</v>
      </c>
      <c r="G37" s="53" t="e">
        <f>IF(VLOOKUP(B37,'коначна табела финал'!$B$1:$AC$100,6,FALSE)&gt;10,VLOOKUP(B37,'коначна табела финал'!$B$1:$AC$100,5,FALSE),0)</f>
        <v>#N/A</v>
      </c>
      <c r="H37" s="57">
        <f>'коначна табела финал'!$F$11</f>
        <v>0</v>
      </c>
      <c r="I37" s="53" t="e">
        <f>IF(VLOOKUP(B37,'коначна табела финал'!$B$1:$AC$100,7,FALSE)&gt;10,VLOOKUP(B37,'коначна табела финал'!$B$1:$AC$100,6,FALSE),0)</f>
        <v>#N/A</v>
      </c>
      <c r="J37" s="57">
        <f>'коначна табела финал'!$G$11</f>
        <v>0</v>
      </c>
      <c r="K37" s="64" t="e">
        <f>VLOOKUP(B37,'коначна табела финал'!$B$13:$AA$96,$M$5+7,FALSE)</f>
        <v>#N/A</v>
      </c>
      <c r="L37" s="67" t="e">
        <f>IF(K37="није полагао/ла","није полагао/ла",VLOOKUP(B37,'коначна табела финал'!$B$13:$AA$96,18,FALSE))</f>
        <v>#N/A</v>
      </c>
      <c r="M37" s="69" t="e">
        <f t="shared" si="0"/>
        <v>#N/A</v>
      </c>
      <c r="N37" s="69" t="e">
        <f t="shared" si="1"/>
        <v>#N/A</v>
      </c>
      <c r="O37" s="45" t="e">
        <f t="shared" si="2"/>
        <v>#N/A</v>
      </c>
    </row>
    <row r="38" spans="1:15" ht="12.75" customHeight="1" x14ac:dyDescent="0.2">
      <c r="A38" s="35">
        <v>27</v>
      </c>
      <c r="B38" s="37"/>
      <c r="C38" s="42" t="e">
        <f>VLOOKUP(B38,'коначна табела финал'!$B$1:$AC$100,21,FALSE)</f>
        <v>#N/A</v>
      </c>
      <c r="D38" s="45" t="e">
        <f>VLOOKUP(B38,'коначна табела финал'!$B$1:$AC$100,20,FALSE)</f>
        <v>#N/A</v>
      </c>
      <c r="E38" s="48" t="e">
        <f>VLOOKUP(B38,'коначна табела финал'!$B$1:$V$100,2,FALSE)</f>
        <v>#N/A</v>
      </c>
      <c r="F38" s="53" t="e">
        <f>VLOOKUP(B38,'коначна табела финал'!$B$1:$AC$100,4,FALSE)</f>
        <v>#N/A</v>
      </c>
      <c r="G38" s="53" t="e">
        <f>IF(VLOOKUP(B38,'коначна табела финал'!$B$1:$AC$100,6,FALSE)&gt;10,VLOOKUP(B38,'коначна табела финал'!$B$1:$AC$100,5,FALSE),0)</f>
        <v>#N/A</v>
      </c>
      <c r="H38" s="57">
        <f>'коначна табела финал'!$F$11</f>
        <v>0</v>
      </c>
      <c r="I38" s="53" t="e">
        <f>IF(VLOOKUP(B38,'коначна табела финал'!$B$1:$AC$100,7,FALSE)&gt;10,VLOOKUP(B38,'коначна табела финал'!$B$1:$AC$100,6,FALSE),0)</f>
        <v>#N/A</v>
      </c>
      <c r="J38" s="57">
        <f>'коначна табела финал'!$G$11</f>
        <v>0</v>
      </c>
      <c r="K38" s="64" t="e">
        <f>VLOOKUP(B38,'коначна табела финал'!$B$13:$AA$96,$M$5+7,FALSE)</f>
        <v>#N/A</v>
      </c>
      <c r="L38" s="67" t="e">
        <f>IF(K38="није полагао/ла","није полагао/ла",VLOOKUP(B38,'коначна табела финал'!$B$13:$AA$96,18,FALSE))</f>
        <v>#N/A</v>
      </c>
      <c r="M38" s="69" t="e">
        <f t="shared" si="0"/>
        <v>#N/A</v>
      </c>
      <c r="N38" s="69" t="e">
        <f t="shared" si="1"/>
        <v>#N/A</v>
      </c>
      <c r="O38" s="45" t="e">
        <f t="shared" si="2"/>
        <v>#N/A</v>
      </c>
    </row>
    <row r="39" spans="1:15" ht="12.75" customHeight="1" x14ac:dyDescent="0.2">
      <c r="A39" s="35">
        <v>28</v>
      </c>
      <c r="B39" s="37"/>
      <c r="C39" s="42" t="e">
        <f>VLOOKUP(B39,'коначна табела финал'!$B$1:$AC$100,21,FALSE)</f>
        <v>#N/A</v>
      </c>
      <c r="D39" s="45" t="e">
        <f>VLOOKUP(B39,'коначна табела финал'!$B$1:$AC$100,20,FALSE)</f>
        <v>#N/A</v>
      </c>
      <c r="E39" s="48" t="e">
        <f>VLOOKUP(B39,'коначна табела финал'!$B$1:$V$100,2,FALSE)</f>
        <v>#N/A</v>
      </c>
      <c r="F39" s="53" t="e">
        <f>VLOOKUP(B39,'коначна табела финал'!$B$1:$AC$100,4,FALSE)</f>
        <v>#N/A</v>
      </c>
      <c r="G39" s="53" t="e">
        <f>IF(VLOOKUP(B39,'коначна табела финал'!$B$1:$AC$100,6,FALSE)&gt;10,VLOOKUP(B39,'коначна табела финал'!$B$1:$AC$100,5,FALSE),0)</f>
        <v>#N/A</v>
      </c>
      <c r="H39" s="57">
        <f>'коначна табела финал'!$F$11</f>
        <v>0</v>
      </c>
      <c r="I39" s="53" t="e">
        <f>IF(VLOOKUP(B39,'коначна табела финал'!$B$1:$AC$100,7,FALSE)&gt;10,VLOOKUP(B39,'коначна табела финал'!$B$1:$AC$100,6,FALSE),0)</f>
        <v>#N/A</v>
      </c>
      <c r="J39" s="57">
        <f>'коначна табела финал'!$G$11</f>
        <v>0</v>
      </c>
      <c r="K39" s="64" t="e">
        <f>VLOOKUP(B39,'коначна табела финал'!$B$13:$AA$96,$M$5+7,FALSE)</f>
        <v>#N/A</v>
      </c>
      <c r="L39" s="67" t="e">
        <f>IF(K39="није полагао/ла","није полагао/ла",VLOOKUP(B39,'коначна табела финал'!$B$13:$AA$96,18,FALSE))</f>
        <v>#N/A</v>
      </c>
      <c r="M39" s="69" t="e">
        <f t="shared" si="0"/>
        <v>#N/A</v>
      </c>
      <c r="N39" s="69" t="e">
        <f t="shared" si="1"/>
        <v>#N/A</v>
      </c>
      <c r="O39" s="45" t="e">
        <f t="shared" si="2"/>
        <v>#N/A</v>
      </c>
    </row>
    <row r="40" spans="1:15" ht="12.75" customHeight="1" x14ac:dyDescent="0.2">
      <c r="A40" s="35">
        <v>29</v>
      </c>
      <c r="B40" s="37"/>
      <c r="C40" s="42" t="e">
        <f>VLOOKUP(B40,'коначна табела финал'!$B$1:$AC$100,21,FALSE)</f>
        <v>#N/A</v>
      </c>
      <c r="D40" s="45" t="e">
        <f>VLOOKUP(B40,'коначна табела финал'!$B$1:$AC$100,20,FALSE)</f>
        <v>#N/A</v>
      </c>
      <c r="E40" s="86" t="e">
        <f>VLOOKUP(B40,'коначна табела финал'!$B$1:$V$100,2,FALSE)</f>
        <v>#N/A</v>
      </c>
      <c r="F40" s="53" t="e">
        <f>VLOOKUP(B40,'коначна табела финал'!$B$1:$AC$100,4,FALSE)</f>
        <v>#N/A</v>
      </c>
      <c r="G40" s="53" t="e">
        <f>IF(VLOOKUP(B40,'коначна табела финал'!$B$1:$AC$100,6,FALSE)&gt;10,VLOOKUP(B40,'коначна табела финал'!$B$1:$AC$100,5,FALSE),0)</f>
        <v>#N/A</v>
      </c>
      <c r="H40" s="57">
        <f>'коначна табела финал'!$F$11</f>
        <v>0</v>
      </c>
      <c r="I40" s="53" t="e">
        <f>IF(VLOOKUP(B40,'коначна табела финал'!$B$1:$AC$100,7,FALSE)&gt;10,VLOOKUP(B40,'коначна табела финал'!$B$1:$AC$100,6,FALSE),0)</f>
        <v>#N/A</v>
      </c>
      <c r="J40" s="57">
        <f>'коначна табела финал'!$G$11</f>
        <v>0</v>
      </c>
      <c r="K40" s="64" t="e">
        <f>VLOOKUP(B40,'коначна табела финал'!$B$13:$AA$96,$M$5+7,FALSE)</f>
        <v>#N/A</v>
      </c>
      <c r="L40" s="67" t="e">
        <f>IF(K40="није полагао/ла","није полагао/ла",VLOOKUP(B40,'коначна табела финал'!$B$13:$AA$96,18,FALSE))</f>
        <v>#N/A</v>
      </c>
      <c r="M40" s="69" t="e">
        <f t="shared" si="0"/>
        <v>#N/A</v>
      </c>
      <c r="N40" s="69" t="e">
        <f t="shared" si="1"/>
        <v>#N/A</v>
      </c>
      <c r="O40" s="45" t="e">
        <f t="shared" si="2"/>
        <v>#N/A</v>
      </c>
    </row>
    <row r="41" spans="1:15" ht="12.75" customHeight="1" x14ac:dyDescent="0.2">
      <c r="A41" s="35">
        <v>30</v>
      </c>
      <c r="B41" s="37"/>
      <c r="C41" s="42" t="e">
        <f>VLOOKUP(B41,'коначна табела финал'!$B$1:$AC$100,21,FALSE)</f>
        <v>#N/A</v>
      </c>
      <c r="D41" s="45" t="e">
        <f>VLOOKUP(B41,'коначна табела финал'!$B$1:$AC$100,20,FALSE)</f>
        <v>#N/A</v>
      </c>
      <c r="E41" s="86" t="e">
        <f>VLOOKUP(B41,'коначна табела финал'!$B$1:$V$100,2,FALSE)</f>
        <v>#N/A</v>
      </c>
      <c r="F41" s="53" t="e">
        <f>VLOOKUP(B41,'коначна табела финал'!$B$1:$AC$100,4,FALSE)</f>
        <v>#N/A</v>
      </c>
      <c r="G41" s="53" t="e">
        <f>IF(VLOOKUP(B41,'коначна табела финал'!$B$1:$AC$100,6,FALSE)&gt;10,VLOOKUP(B41,'коначна табела финал'!$B$1:$AC$100,5,FALSE),0)</f>
        <v>#N/A</v>
      </c>
      <c r="H41" s="57">
        <f>'коначна табела финал'!$F$11</f>
        <v>0</v>
      </c>
      <c r="I41" s="53" t="e">
        <f>IF(VLOOKUP(B41,'коначна табела финал'!$B$1:$AC$100,7,FALSE)&gt;10,VLOOKUP(B41,'коначна табела финал'!$B$1:$AC$100,6,FALSE),0)</f>
        <v>#N/A</v>
      </c>
      <c r="J41" s="57">
        <f>'коначна табела финал'!$G$11</f>
        <v>0</v>
      </c>
      <c r="K41" s="64" t="e">
        <f>VLOOKUP(B41,'коначна табела финал'!$B$13:$AA$96,$M$5+7,FALSE)</f>
        <v>#N/A</v>
      </c>
      <c r="L41" s="67" t="e">
        <f>IF(K41="није полагао/ла","није полагао/ла",VLOOKUP(B41,'коначна табела финал'!$B$13:$AA$96,18,FALSE))</f>
        <v>#N/A</v>
      </c>
      <c r="M41" s="69" t="e">
        <f t="shared" si="0"/>
        <v>#N/A</v>
      </c>
      <c r="N41" s="69" t="e">
        <f t="shared" si="1"/>
        <v>#N/A</v>
      </c>
      <c r="O41" s="45" t="e">
        <f t="shared" si="2"/>
        <v>#N/A</v>
      </c>
    </row>
    <row r="42" spans="1:15" ht="12.75" customHeight="1" x14ac:dyDescent="0.2">
      <c r="A42" s="35">
        <v>31</v>
      </c>
      <c r="B42" s="37"/>
      <c r="C42" s="42" t="e">
        <f>VLOOKUP(B42,'коначна табела финал'!$B$1:$AC$100,21,FALSE)</f>
        <v>#N/A</v>
      </c>
      <c r="D42" s="45" t="e">
        <f>VLOOKUP(B42,'коначна табела финал'!$B$1:$AC$100,20,FALSE)</f>
        <v>#N/A</v>
      </c>
      <c r="E42" s="48" t="e">
        <f>VLOOKUP(B42,'коначна табела финал'!$B$1:$V$100,2,FALSE)</f>
        <v>#N/A</v>
      </c>
      <c r="F42" s="53" t="e">
        <f>VLOOKUP(B42,'коначна табела финал'!$B$1:$AC$100,4,FALSE)</f>
        <v>#N/A</v>
      </c>
      <c r="G42" s="53" t="e">
        <f>IF(VLOOKUP(B42,'коначна табела финал'!$B$1:$AC$100,6,FALSE)&gt;10,VLOOKUP(B42,'коначна табела финал'!$B$1:$AC$100,5,FALSE),0)</f>
        <v>#N/A</v>
      </c>
      <c r="H42" s="57">
        <f>'коначна табела финал'!$F$11</f>
        <v>0</v>
      </c>
      <c r="I42" s="53" t="e">
        <f>IF(VLOOKUP(B42,'коначна табела финал'!$B$1:$AC$100,7,FALSE)&gt;10,VLOOKUP(B42,'коначна табела финал'!$B$1:$AC$100,6,FALSE),0)</f>
        <v>#N/A</v>
      </c>
      <c r="J42" s="57">
        <f>'коначна табела финал'!$G$11</f>
        <v>0</v>
      </c>
      <c r="K42" s="64" t="e">
        <f>VLOOKUP(B42,'коначна табела финал'!$B$13:$AA$96,$M$5+7,FALSE)</f>
        <v>#N/A</v>
      </c>
      <c r="L42" s="67" t="e">
        <f>IF(K42="није полагао/ла","није полагао/ла",VLOOKUP(B42,'коначна табела финал'!$B$13:$AA$96,18,FALSE))</f>
        <v>#N/A</v>
      </c>
      <c r="M42" s="69" t="e">
        <f t="shared" si="0"/>
        <v>#N/A</v>
      </c>
      <c r="N42" s="69" t="e">
        <f t="shared" si="1"/>
        <v>#N/A</v>
      </c>
      <c r="O42" s="45" t="e">
        <f t="shared" si="2"/>
        <v>#N/A</v>
      </c>
    </row>
    <row r="43" spans="1:15" ht="12.75" customHeight="1" x14ac:dyDescent="0.2">
      <c r="A43" s="35">
        <v>32</v>
      </c>
      <c r="B43" s="37"/>
      <c r="C43" s="42" t="e">
        <f>VLOOKUP(B43,'коначна табела финал'!$B$1:$AC$100,21,FALSE)</f>
        <v>#N/A</v>
      </c>
      <c r="D43" s="45" t="e">
        <f>VLOOKUP(B43,'коначна табела финал'!$B$1:$AC$100,20,FALSE)</f>
        <v>#N/A</v>
      </c>
      <c r="E43" s="48" t="e">
        <f>VLOOKUP(B43,'коначна табела финал'!$B$1:$V$100,2,FALSE)</f>
        <v>#N/A</v>
      </c>
      <c r="F43" s="53" t="e">
        <f>VLOOKUP(B43,'коначна табела финал'!$B$1:$AC$100,4,FALSE)</f>
        <v>#N/A</v>
      </c>
      <c r="G43" s="53" t="e">
        <f>IF(VLOOKUP(B43,'коначна табела финал'!$B$1:$AC$100,6,FALSE)&gt;10,VLOOKUP(B43,'коначна табела финал'!$B$1:$AC$100,5,FALSE),0)</f>
        <v>#N/A</v>
      </c>
      <c r="H43" s="57">
        <f>'коначна табела финал'!$F$11</f>
        <v>0</v>
      </c>
      <c r="I43" s="53" t="e">
        <f>IF(VLOOKUP(B43,'коначна табела финал'!$B$1:$AC$100,7,FALSE)&gt;10,VLOOKUP(B43,'коначна табела финал'!$B$1:$AC$100,6,FALSE),0)</f>
        <v>#N/A</v>
      </c>
      <c r="J43" s="57">
        <f>'коначна табела финал'!$G$11</f>
        <v>0</v>
      </c>
      <c r="K43" s="64" t="e">
        <f>VLOOKUP(B43,'коначна табела финал'!$B$13:$AA$96,$M$5+7,FALSE)</f>
        <v>#N/A</v>
      </c>
      <c r="L43" s="67" t="e">
        <f>IF(K43="није полагао/ла","није полагао/ла",VLOOKUP(B43,'коначна табела финал'!$B$13:$AA$96,18,FALSE))</f>
        <v>#N/A</v>
      </c>
      <c r="M43" s="69" t="e">
        <f t="shared" si="0"/>
        <v>#N/A</v>
      </c>
      <c r="N43" s="69" t="e">
        <f t="shared" si="1"/>
        <v>#N/A</v>
      </c>
      <c r="O43" s="45" t="e">
        <f t="shared" si="2"/>
        <v>#N/A</v>
      </c>
    </row>
    <row r="44" spans="1:15" ht="12.75" customHeight="1" x14ac:dyDescent="0.2">
      <c r="A44" s="35">
        <v>33</v>
      </c>
      <c r="B44" s="37"/>
      <c r="C44" s="42" t="e">
        <f>VLOOKUP(B44,'коначна табела финал'!$B$1:$AC$100,21,FALSE)</f>
        <v>#N/A</v>
      </c>
      <c r="D44" s="45" t="e">
        <f>VLOOKUP(B44,'коначна табела финал'!$B$1:$AC$100,20,FALSE)</f>
        <v>#N/A</v>
      </c>
      <c r="E44" s="48" t="e">
        <f>VLOOKUP(B44,'коначна табела финал'!$B$1:$V$100,2,FALSE)</f>
        <v>#N/A</v>
      </c>
      <c r="F44" s="53" t="e">
        <f>VLOOKUP(B44,'коначна табела финал'!$B$1:$AC$100,4,FALSE)</f>
        <v>#N/A</v>
      </c>
      <c r="G44" s="53" t="e">
        <f>IF(VLOOKUP(B44,'коначна табела финал'!$B$1:$AC$100,6,FALSE)&gt;10,VLOOKUP(B44,'коначна табела финал'!$B$1:$AC$100,5,FALSE),0)</f>
        <v>#N/A</v>
      </c>
      <c r="H44" s="57">
        <f>'коначна табела финал'!$F$11</f>
        <v>0</v>
      </c>
      <c r="I44" s="53" t="e">
        <f>IF(VLOOKUP(B44,'коначна табела финал'!$B$1:$AC$100,7,FALSE)&gt;10,VLOOKUP(B44,'коначна табела финал'!$B$1:$AC$100,6,FALSE),0)</f>
        <v>#N/A</v>
      </c>
      <c r="J44" s="57">
        <f>'коначна табела финал'!$G$11</f>
        <v>0</v>
      </c>
      <c r="K44" s="64" t="e">
        <f>VLOOKUP(B44,'коначна табела финал'!$B$13:$AA$96,$M$5+7,FALSE)</f>
        <v>#N/A</v>
      </c>
      <c r="L44" s="67" t="e">
        <f>IF(K44="није полагао/ла","није полагао/ла",VLOOKUP(B44,'коначна табела финал'!$B$13:$AA$96,18,FALSE))</f>
        <v>#N/A</v>
      </c>
      <c r="M44" s="69" t="e">
        <f t="shared" si="0"/>
        <v>#N/A</v>
      </c>
      <c r="N44" s="69" t="e">
        <f t="shared" si="1"/>
        <v>#N/A</v>
      </c>
      <c r="O44" s="45" t="e">
        <f t="shared" si="2"/>
        <v>#N/A</v>
      </c>
    </row>
    <row r="45" spans="1:15" ht="12.75" customHeight="1" x14ac:dyDescent="0.2">
      <c r="A45" s="35">
        <v>34</v>
      </c>
      <c r="B45" s="37"/>
      <c r="C45" s="42" t="e">
        <f>VLOOKUP(B45,'коначна табела финал'!$B$1:$AC$100,21,FALSE)</f>
        <v>#N/A</v>
      </c>
      <c r="D45" s="45" t="e">
        <f>VLOOKUP(B45,'коначна табела финал'!$B$1:$AC$100,20,FALSE)</f>
        <v>#N/A</v>
      </c>
      <c r="E45" s="48" t="e">
        <f>VLOOKUP(B45,'коначна табела финал'!$B$1:$V$100,2,FALSE)</f>
        <v>#N/A</v>
      </c>
      <c r="F45" s="53" t="e">
        <f>VLOOKUP(B45,'коначна табела финал'!$B$1:$AC$100,4,FALSE)</f>
        <v>#N/A</v>
      </c>
      <c r="G45" s="53" t="e">
        <f>IF(VLOOKUP(B45,'коначна табела финал'!$B$1:$AC$100,6,FALSE)&gt;10,VLOOKUP(B45,'коначна табела финал'!$B$1:$AC$100,5,FALSE),0)</f>
        <v>#N/A</v>
      </c>
      <c r="H45" s="57">
        <f>'коначна табела финал'!$F$11</f>
        <v>0</v>
      </c>
      <c r="I45" s="53" t="e">
        <f>IF(VLOOKUP(B45,'коначна табела финал'!$B$1:$AC$100,7,FALSE)&gt;10,VLOOKUP(B45,'коначна табела финал'!$B$1:$AC$100,6,FALSE),0)</f>
        <v>#N/A</v>
      </c>
      <c r="J45" s="57">
        <f>'коначна табела финал'!$G$11</f>
        <v>0</v>
      </c>
      <c r="K45" s="64" t="e">
        <f>VLOOKUP(B45,'коначна табела финал'!$B$13:$AA$96,$M$5+7,FALSE)</f>
        <v>#N/A</v>
      </c>
      <c r="L45" s="67" t="e">
        <f>IF(K45="није полагао/ла","није полагао/ла",VLOOKUP(B45,'коначна табела финал'!$B$13:$AA$96,18,FALSE))</f>
        <v>#N/A</v>
      </c>
      <c r="M45" s="69" t="e">
        <f t="shared" si="0"/>
        <v>#N/A</v>
      </c>
      <c r="N45" s="69" t="e">
        <f t="shared" si="1"/>
        <v>#N/A</v>
      </c>
      <c r="O45" s="45" t="e">
        <f t="shared" si="2"/>
        <v>#N/A</v>
      </c>
    </row>
    <row r="46" spans="1:15" ht="12.75" customHeight="1" x14ac:dyDescent="0.2">
      <c r="A46" s="35">
        <v>35</v>
      </c>
      <c r="B46" s="37"/>
      <c r="C46" s="42" t="e">
        <f>VLOOKUP(B46,'коначна табела финал'!$B$1:$AC$100,21,FALSE)</f>
        <v>#N/A</v>
      </c>
      <c r="D46" s="45" t="e">
        <f>VLOOKUP(B46,'коначна табела финал'!$B$1:$AC$100,20,FALSE)</f>
        <v>#N/A</v>
      </c>
      <c r="E46" s="48" t="e">
        <f>VLOOKUP(B46,'коначна табела финал'!$B$1:$V$100,2,FALSE)</f>
        <v>#N/A</v>
      </c>
      <c r="F46" s="53" t="e">
        <f>VLOOKUP(B46,'коначна табела финал'!$B$1:$AC$100,4,FALSE)</f>
        <v>#N/A</v>
      </c>
      <c r="G46" s="53" t="e">
        <f>IF(VLOOKUP(B46,'коначна табела финал'!$B$1:$AC$100,6,FALSE)&gt;10,VLOOKUP(B46,'коначна табела финал'!$B$1:$AC$100,5,FALSE),0)</f>
        <v>#N/A</v>
      </c>
      <c r="H46" s="57">
        <f>'коначна табела финал'!$F$11</f>
        <v>0</v>
      </c>
      <c r="I46" s="53" t="e">
        <f>IF(VLOOKUP(B46,'коначна табела финал'!$B$1:$AC$100,7,FALSE)&gt;10,VLOOKUP(B46,'коначна табела финал'!$B$1:$AC$100,6,FALSE),0)</f>
        <v>#N/A</v>
      </c>
      <c r="J46" s="57">
        <f>'коначна табела финал'!$G$11</f>
        <v>0</v>
      </c>
      <c r="K46" s="64" t="e">
        <f>VLOOKUP(B46,'коначна табела финал'!$B$13:$AA$96,$M$5+7,FALSE)</f>
        <v>#N/A</v>
      </c>
      <c r="L46" s="67" t="e">
        <f>IF(K46="није полагао/ла","није полагао/ла",VLOOKUP(B46,'коначна табела финал'!$B$13:$AA$96,18,FALSE))</f>
        <v>#N/A</v>
      </c>
      <c r="M46" s="69" t="e">
        <f t="shared" si="0"/>
        <v>#N/A</v>
      </c>
      <c r="N46" s="69" t="e">
        <f t="shared" si="1"/>
        <v>#N/A</v>
      </c>
      <c r="O46" s="45" t="e">
        <f t="shared" si="2"/>
        <v>#N/A</v>
      </c>
    </row>
    <row r="47" spans="1:15" ht="12.75" customHeight="1" x14ac:dyDescent="0.2">
      <c r="A47" s="35">
        <v>36</v>
      </c>
      <c r="B47" s="37"/>
      <c r="C47" s="42" t="e">
        <f>VLOOKUP(B47,'коначна табела финал'!$B$1:$AC$100,21,FALSE)</f>
        <v>#N/A</v>
      </c>
      <c r="D47" s="45" t="e">
        <f>VLOOKUP(B47,'коначна табела финал'!$B$1:$AC$100,20,FALSE)</f>
        <v>#N/A</v>
      </c>
      <c r="E47" s="48" t="e">
        <f>VLOOKUP(B47,'коначна табела финал'!$B$1:$V$100,2,FALSE)</f>
        <v>#N/A</v>
      </c>
      <c r="F47" s="53" t="e">
        <f>VLOOKUP(B47,'коначна табела финал'!$B$1:$AC$100,4,FALSE)</f>
        <v>#N/A</v>
      </c>
      <c r="G47" s="53" t="e">
        <f>IF(VLOOKUP(B47,'коначна табела финал'!$B$1:$AC$100,6,FALSE)&gt;10,VLOOKUP(B47,'коначна табела финал'!$B$1:$AC$100,5,FALSE),0)</f>
        <v>#N/A</v>
      </c>
      <c r="H47" s="57">
        <f>'коначна табела финал'!$F$11</f>
        <v>0</v>
      </c>
      <c r="I47" s="53" t="e">
        <f>IF(VLOOKUP(B47,'коначна табела финал'!$B$1:$AC$100,7,FALSE)&gt;10,VLOOKUP(B47,'коначна табела финал'!$B$1:$AC$100,6,FALSE),0)</f>
        <v>#N/A</v>
      </c>
      <c r="J47" s="57">
        <f>'коначна табела финал'!$G$11</f>
        <v>0</v>
      </c>
      <c r="K47" s="64" t="e">
        <f>VLOOKUP(B47,'коначна табела финал'!$B$13:$AA$96,$M$5+7,FALSE)</f>
        <v>#N/A</v>
      </c>
      <c r="L47" s="67" t="e">
        <f>IF(K47="није полагао/ла","није полагао/ла",VLOOKUP(B47,'коначна табела финал'!$B$13:$AA$96,18,FALSE))</f>
        <v>#N/A</v>
      </c>
      <c r="M47" s="69" t="e">
        <f t="shared" si="0"/>
        <v>#N/A</v>
      </c>
      <c r="N47" s="69" t="e">
        <f t="shared" si="1"/>
        <v>#N/A</v>
      </c>
      <c r="O47" s="45" t="e">
        <f t="shared" si="2"/>
        <v>#N/A</v>
      </c>
    </row>
    <row r="48" spans="1:15" ht="12.75" customHeight="1" x14ac:dyDescent="0.2">
      <c r="A48" s="35">
        <v>37</v>
      </c>
      <c r="B48" s="37"/>
      <c r="C48" s="42" t="e">
        <f>VLOOKUP(B48,'коначна табела финал'!$B$1:$AC$100,21,FALSE)</f>
        <v>#N/A</v>
      </c>
      <c r="D48" s="45" t="e">
        <f>VLOOKUP(B48,'коначна табела финал'!$B$1:$AC$100,20,FALSE)</f>
        <v>#N/A</v>
      </c>
      <c r="E48" s="48" t="e">
        <f>VLOOKUP(B48,'коначна табела финал'!$B$1:$V$100,2,FALSE)</f>
        <v>#N/A</v>
      </c>
      <c r="F48" s="53" t="e">
        <f>VLOOKUP(B48,'коначна табела финал'!$B$1:$AC$100,4,FALSE)</f>
        <v>#N/A</v>
      </c>
      <c r="G48" s="53" t="e">
        <f>IF(VLOOKUP(B48,'коначна табела финал'!$B$1:$AC$100,6,FALSE)&gt;10,VLOOKUP(B48,'коначна табела финал'!$B$1:$AC$100,5,FALSE),0)</f>
        <v>#N/A</v>
      </c>
      <c r="H48" s="57">
        <f>'коначна табела финал'!$F$11</f>
        <v>0</v>
      </c>
      <c r="I48" s="53" t="e">
        <f>IF(VLOOKUP(B48,'коначна табела финал'!$B$1:$AC$100,7,FALSE)&gt;10,VLOOKUP(B48,'коначна табела финал'!$B$1:$AC$100,6,FALSE),0)</f>
        <v>#N/A</v>
      </c>
      <c r="J48" s="57">
        <f>'коначна табела финал'!$G$11</f>
        <v>0</v>
      </c>
      <c r="K48" s="64" t="e">
        <f>VLOOKUP(B48,'коначна табела финал'!$B$13:$AA$96,$M$5+7,FALSE)</f>
        <v>#N/A</v>
      </c>
      <c r="L48" s="67" t="e">
        <f>IF(K48="није полагао/ла","није полагао/ла",VLOOKUP(B48,'коначна табела финал'!$B$13:$AA$96,18,FALSE))</f>
        <v>#N/A</v>
      </c>
      <c r="M48" s="69" t="e">
        <f t="shared" si="0"/>
        <v>#N/A</v>
      </c>
      <c r="N48" s="69" t="e">
        <f t="shared" si="1"/>
        <v>#N/A</v>
      </c>
      <c r="O48" s="45" t="e">
        <f t="shared" si="2"/>
        <v>#N/A</v>
      </c>
    </row>
    <row r="49" spans="1:15" ht="13.5" customHeight="1" x14ac:dyDescent="0.2">
      <c r="A49" s="35">
        <v>38</v>
      </c>
      <c r="B49" s="37"/>
      <c r="C49" s="42" t="e">
        <f>VLOOKUP(B49,'коначна табела финал'!$B$1:$AC$100,21,FALSE)</f>
        <v>#N/A</v>
      </c>
      <c r="D49" s="45" t="e">
        <f>VLOOKUP(B49,'коначна табела финал'!$B$1:$AC$100,20,FALSE)</f>
        <v>#N/A</v>
      </c>
      <c r="E49" s="48" t="e">
        <f>VLOOKUP(B49,'коначна табела финал'!$B$1:$V$100,2,FALSE)</f>
        <v>#N/A</v>
      </c>
      <c r="F49" s="53" t="e">
        <f>VLOOKUP(B49,'коначна табела финал'!$B$1:$AC$100,4,FALSE)</f>
        <v>#N/A</v>
      </c>
      <c r="G49" s="53" t="e">
        <f>IF(VLOOKUP(B49,'коначна табела финал'!$B$1:$AC$100,6,FALSE)&gt;10,VLOOKUP(B49,'коначна табела финал'!$B$1:$AC$100,5,FALSE),0)</f>
        <v>#N/A</v>
      </c>
      <c r="H49" s="57">
        <f>'коначна табела финал'!$F$11</f>
        <v>0</v>
      </c>
      <c r="I49" s="53" t="e">
        <f>IF(VLOOKUP(B49,'коначна табела финал'!$B$1:$AC$100,7,FALSE)&gt;10,VLOOKUP(B49,'коначна табела финал'!$B$1:$AC$100,6,FALSE),0)</f>
        <v>#N/A</v>
      </c>
      <c r="J49" s="57">
        <f>'коначна табела финал'!$G$11</f>
        <v>0</v>
      </c>
      <c r="K49" s="64" t="e">
        <f>VLOOKUP(B49,'коначна табела финал'!$B$13:$AA$96,$M$5+7,FALSE)</f>
        <v>#N/A</v>
      </c>
      <c r="L49" s="67" t="e">
        <f>IF(K49="није полагао/ла","није полагао/ла",VLOOKUP(B49,'коначна табела финал'!$B$13:$AA$96,18,FALSE))</f>
        <v>#N/A</v>
      </c>
      <c r="M49" s="69" t="e">
        <f t="shared" si="0"/>
        <v>#N/A</v>
      </c>
      <c r="N49" s="69" t="e">
        <f t="shared" si="1"/>
        <v>#N/A</v>
      </c>
      <c r="O49" s="45" t="e">
        <f t="shared" si="2"/>
        <v>#N/A</v>
      </c>
    </row>
    <row r="50" spans="1:15" ht="12.75" customHeight="1" x14ac:dyDescent="0.2">
      <c r="A50" s="35">
        <v>53</v>
      </c>
      <c r="B50" s="37"/>
      <c r="C50" s="42" t="e">
        <f>VLOOKUP(B50,'коначна табела финал'!$B$1:$AC$100,21,FALSE)</f>
        <v>#N/A</v>
      </c>
      <c r="D50" s="45" t="e">
        <f>VLOOKUP(B50,'коначна табела финал'!$B$1:$AC$100,20,FALSE)</f>
        <v>#N/A</v>
      </c>
      <c r="E50" s="48" t="e">
        <f>VLOOKUP(B50,'коначна табела финал'!$B$1:$V$100,2,FALSE)</f>
        <v>#N/A</v>
      </c>
      <c r="F50" s="53" t="e">
        <f>VLOOKUP(B50,'коначна табела финал'!$B$1:$AC$100,4,FALSE)</f>
        <v>#N/A</v>
      </c>
      <c r="G50" s="53" t="e">
        <f>IF(VLOOKUP(B50,'коначна табела финал'!$B$1:$AC$100,6,FALSE)&gt;10,VLOOKUP(B50,'коначна табела финал'!$B$1:$AC$100,5,FALSE),0)</f>
        <v>#N/A</v>
      </c>
      <c r="H50" s="57">
        <f>'коначна табела финал'!$F$11</f>
        <v>0</v>
      </c>
      <c r="I50" s="53" t="e">
        <f>IF(VLOOKUP(B50,'коначна табела финал'!$B$1:$AC$100,7,FALSE)&gt;10,VLOOKUP(B50,'коначна табела финал'!$B$1:$AC$100,6,FALSE),0)</f>
        <v>#N/A</v>
      </c>
      <c r="J50" s="57">
        <f>'коначна табела финал'!$G$11</f>
        <v>0</v>
      </c>
      <c r="K50" s="64" t="e">
        <f>VLOOKUP(B50,'коначна табела финал'!$B$13:$AA$96,$M$5+7,FALSE)</f>
        <v>#N/A</v>
      </c>
      <c r="L50" s="67" t="e">
        <f>IF(K50="није полагао/ла","није полагао/ла",VLOOKUP(B50,'коначна табела финал'!$B$13:$AA$96,18,FALSE))</f>
        <v>#N/A</v>
      </c>
      <c r="M50" s="69" t="e">
        <f t="shared" si="0"/>
        <v>#N/A</v>
      </c>
      <c r="N50" s="69" t="e">
        <f t="shared" si="1"/>
        <v>#N/A</v>
      </c>
      <c r="O50" s="45" t="e">
        <f t="shared" si="2"/>
        <v>#N/A</v>
      </c>
    </row>
    <row r="51" spans="1:15" ht="12.75" customHeight="1" x14ac:dyDescent="0.2">
      <c r="A51" s="35">
        <v>54</v>
      </c>
      <c r="B51" s="37"/>
      <c r="C51" s="42" t="e">
        <f>VLOOKUP(B51,'коначна табела финал'!$B$1:$AC$100,21,FALSE)</f>
        <v>#N/A</v>
      </c>
      <c r="D51" s="45" t="e">
        <f>VLOOKUP(B51,'коначна табела финал'!$B$1:$AC$100,20,FALSE)</f>
        <v>#N/A</v>
      </c>
      <c r="E51" s="48" t="e">
        <f>VLOOKUP(B51,'коначна табела финал'!$B$1:$V$100,2,FALSE)</f>
        <v>#N/A</v>
      </c>
      <c r="F51" s="53" t="e">
        <f>VLOOKUP(B51,'коначна табела финал'!$B$1:$AC$100,4,FALSE)</f>
        <v>#N/A</v>
      </c>
      <c r="G51" s="53" t="e">
        <f>IF(VLOOKUP(B51,'коначна табела финал'!$B$1:$AC$100,6,FALSE)&gt;10,VLOOKUP(B51,'коначна табела финал'!$B$1:$AC$100,5,FALSE),0)</f>
        <v>#N/A</v>
      </c>
      <c r="H51" s="57">
        <f>'коначна табела финал'!$F$11</f>
        <v>0</v>
      </c>
      <c r="I51" s="53" t="e">
        <f>IF(VLOOKUP(B51,'коначна табела финал'!$B$1:$AC$100,7,FALSE)&gt;10,VLOOKUP(B51,'коначна табела финал'!$B$1:$AC$100,6,FALSE),0)</f>
        <v>#N/A</v>
      </c>
      <c r="J51" s="57">
        <f>'коначна табела финал'!$G$11</f>
        <v>0</v>
      </c>
      <c r="K51" s="64" t="e">
        <f>VLOOKUP(B51,'коначна табела финал'!$B$13:$AA$96,$M$5+7,FALSE)</f>
        <v>#N/A</v>
      </c>
      <c r="L51" s="67" t="e">
        <f>IF(K51="није полагао/ла","није полагао/ла",VLOOKUP(B51,'коначна табела финал'!$B$13:$AA$96,18,FALSE))</f>
        <v>#N/A</v>
      </c>
      <c r="M51" s="69" t="e">
        <f t="shared" si="0"/>
        <v>#N/A</v>
      </c>
      <c r="N51" s="69" t="e">
        <f t="shared" si="1"/>
        <v>#N/A</v>
      </c>
      <c r="O51" s="45" t="e">
        <f t="shared" si="2"/>
        <v>#N/A</v>
      </c>
    </row>
    <row r="52" spans="1:15" ht="12.75" customHeight="1" x14ac:dyDescent="0.2">
      <c r="A52" s="35">
        <v>55</v>
      </c>
      <c r="B52" s="37"/>
      <c r="C52" s="42" t="e">
        <f>VLOOKUP(B52,'коначна табела финал'!$B$1:$AC$100,21,FALSE)</f>
        <v>#N/A</v>
      </c>
      <c r="D52" s="45" t="e">
        <f>VLOOKUP(B52,'коначна табела финал'!$B$1:$AC$100,20,FALSE)</f>
        <v>#N/A</v>
      </c>
      <c r="E52" s="48" t="e">
        <f>VLOOKUP(B52,'коначна табела финал'!$B$1:$V$100,2,FALSE)</f>
        <v>#N/A</v>
      </c>
      <c r="F52" s="53" t="e">
        <f>VLOOKUP(B52,'коначна табела финал'!$B$1:$AC$100,4,FALSE)</f>
        <v>#N/A</v>
      </c>
      <c r="G52" s="53" t="e">
        <f>IF(VLOOKUP(B52,'коначна табела финал'!$B$1:$AC$100,6,FALSE)&gt;10,VLOOKUP(B52,'коначна табела финал'!$B$1:$AC$100,5,FALSE),0)</f>
        <v>#N/A</v>
      </c>
      <c r="H52" s="57">
        <f>'коначна табела финал'!$F$11</f>
        <v>0</v>
      </c>
      <c r="I52" s="53" t="e">
        <f>IF(VLOOKUP(B52,'коначна табела финал'!$B$1:$AC$100,7,FALSE)&gt;10,VLOOKUP(B52,'коначна табела финал'!$B$1:$AC$100,6,FALSE),0)</f>
        <v>#N/A</v>
      </c>
      <c r="J52" s="57">
        <f>'коначна табела финал'!$G$11</f>
        <v>0</v>
      </c>
      <c r="K52" s="64" t="e">
        <f>VLOOKUP(B52,'коначна табела финал'!$B$13:$AA$96,$M$5+7,FALSE)</f>
        <v>#N/A</v>
      </c>
      <c r="L52" s="67" t="e">
        <f>IF(K52="није полагао/ла","није полагао/ла",VLOOKUP(B52,'коначна табела финал'!$B$13:$AA$96,18,FALSE))</f>
        <v>#N/A</v>
      </c>
      <c r="M52" s="69" t="e">
        <f t="shared" si="0"/>
        <v>#N/A</v>
      </c>
      <c r="N52" s="69" t="e">
        <f t="shared" si="1"/>
        <v>#N/A</v>
      </c>
      <c r="O52" s="45" t="e">
        <f t="shared" si="2"/>
        <v>#N/A</v>
      </c>
    </row>
    <row r="53" spans="1:15" ht="12.75" customHeight="1" x14ac:dyDescent="0.2">
      <c r="A53" s="35">
        <v>56</v>
      </c>
      <c r="B53" s="37"/>
      <c r="C53" s="42" t="e">
        <f>VLOOKUP(B53,'коначна табела финал'!$B$1:$AC$100,21,FALSE)</f>
        <v>#N/A</v>
      </c>
      <c r="D53" s="45" t="e">
        <f>VLOOKUP(B53,'коначна табела финал'!$B$1:$AC$100,20,FALSE)</f>
        <v>#N/A</v>
      </c>
      <c r="E53" s="48" t="e">
        <f>VLOOKUP(B53,'коначна табела финал'!$B$1:$V$100,2,FALSE)</f>
        <v>#N/A</v>
      </c>
      <c r="F53" s="53" t="e">
        <f>VLOOKUP(B53,'коначна табела финал'!$B$1:$AC$100,4,FALSE)</f>
        <v>#N/A</v>
      </c>
      <c r="G53" s="53" t="e">
        <f>IF(VLOOKUP(B53,'коначна табела финал'!$B$1:$AC$100,6,FALSE)&gt;10,VLOOKUP(B53,'коначна табела финал'!$B$1:$AC$100,5,FALSE),0)</f>
        <v>#N/A</v>
      </c>
      <c r="H53" s="57">
        <f>'коначна табела финал'!$F$11</f>
        <v>0</v>
      </c>
      <c r="I53" s="53" t="e">
        <f>IF(VLOOKUP(B53,'коначна табела финал'!$B$1:$AC$100,7,FALSE)&gt;10,VLOOKUP(B53,'коначна табела финал'!$B$1:$AC$100,6,FALSE),0)</f>
        <v>#N/A</v>
      </c>
      <c r="J53" s="57">
        <f>'коначна табела финал'!$G$11</f>
        <v>0</v>
      </c>
      <c r="K53" s="64" t="e">
        <f>VLOOKUP(B53,'коначна табела финал'!$B$13:$AA$96,$M$5+7,FALSE)</f>
        <v>#N/A</v>
      </c>
      <c r="L53" s="67" t="e">
        <f>IF(K53="није полагао/ла","није полагао/ла",VLOOKUP(B53,'коначна табела финал'!$B$13:$AA$96,18,FALSE))</f>
        <v>#N/A</v>
      </c>
      <c r="M53" s="69" t="e">
        <f t="shared" si="0"/>
        <v>#N/A</v>
      </c>
      <c r="N53" s="69" t="e">
        <f t="shared" si="1"/>
        <v>#N/A</v>
      </c>
      <c r="O53" s="45" t="e">
        <f t="shared" si="2"/>
        <v>#N/A</v>
      </c>
    </row>
    <row r="54" spans="1:15" ht="12.75" customHeight="1" x14ac:dyDescent="0.2">
      <c r="A54" s="35">
        <v>57</v>
      </c>
      <c r="B54" s="37"/>
      <c r="C54" s="42" t="e">
        <f>VLOOKUP(B54,'коначна табела финал'!$B$1:$AC$100,21,FALSE)</f>
        <v>#N/A</v>
      </c>
      <c r="D54" s="45" t="e">
        <f>VLOOKUP(B54,'коначна табела финал'!$B$1:$AC$100,20,FALSE)</f>
        <v>#N/A</v>
      </c>
      <c r="E54" s="48" t="e">
        <f>VLOOKUP(B54,'коначна табела финал'!$B$1:$V$100,2,FALSE)</f>
        <v>#N/A</v>
      </c>
      <c r="F54" s="53" t="e">
        <f>VLOOKUP(B54,'коначна табела финал'!$B$1:$AC$100,4,FALSE)</f>
        <v>#N/A</v>
      </c>
      <c r="G54" s="53" t="e">
        <f>IF(VLOOKUP(B54,'коначна табела финал'!$B$1:$AC$100,6,FALSE)&gt;10,VLOOKUP(B54,'коначна табела финал'!$B$1:$AC$100,5,FALSE),0)</f>
        <v>#N/A</v>
      </c>
      <c r="H54" s="57">
        <f>'коначна табела финал'!$F$11</f>
        <v>0</v>
      </c>
      <c r="I54" s="53" t="e">
        <f>IF(VLOOKUP(B54,'коначна табела финал'!$B$1:$AC$100,7,FALSE)&gt;10,VLOOKUP(B54,'коначна табела финал'!$B$1:$AC$100,6,FALSE),0)</f>
        <v>#N/A</v>
      </c>
      <c r="J54" s="57">
        <f>'коначна табела финал'!$G$11</f>
        <v>0</v>
      </c>
      <c r="K54" s="64" t="e">
        <f>VLOOKUP(B54,'коначна табела финал'!$B$13:$AA$96,$M$5+7,FALSE)</f>
        <v>#N/A</v>
      </c>
      <c r="L54" s="67" t="e">
        <f>IF(K54="није полагао/ла","није полагао/ла",VLOOKUP(B54,'коначна табела финал'!$B$13:$AA$96,18,FALSE))</f>
        <v>#N/A</v>
      </c>
      <c r="M54" s="69" t="e">
        <f t="shared" si="0"/>
        <v>#N/A</v>
      </c>
      <c r="N54" s="69" t="e">
        <f t="shared" si="1"/>
        <v>#N/A</v>
      </c>
      <c r="O54" s="45" t="e">
        <f t="shared" si="2"/>
        <v>#N/A</v>
      </c>
    </row>
    <row r="55" spans="1:15" ht="12.75" customHeight="1" x14ac:dyDescent="0.2">
      <c r="A55" s="35">
        <v>58</v>
      </c>
      <c r="B55" s="37"/>
      <c r="C55" s="42" t="e">
        <f>VLOOKUP(B55,'коначна табела финал'!$B$1:$AC$100,21,FALSE)</f>
        <v>#N/A</v>
      </c>
      <c r="D55" s="45" t="e">
        <f>VLOOKUP(B55,'коначна табела финал'!$B$1:$AC$100,20,FALSE)</f>
        <v>#N/A</v>
      </c>
      <c r="E55" s="48" t="e">
        <f>VLOOKUP(B55,'коначна табела финал'!$B$1:$V$100,2,FALSE)</f>
        <v>#N/A</v>
      </c>
      <c r="F55" s="53" t="e">
        <f>VLOOKUP(B55,'коначна табела финал'!$B$1:$AC$100,4,FALSE)</f>
        <v>#N/A</v>
      </c>
      <c r="G55" s="53" t="e">
        <f>IF(VLOOKUP(B55,'коначна табела финал'!$B$1:$AC$100,6,FALSE)&gt;10,VLOOKUP(B55,'коначна табела финал'!$B$1:$AC$100,5,FALSE),0)</f>
        <v>#N/A</v>
      </c>
      <c r="H55" s="57">
        <f>'коначна табела финал'!$F$11</f>
        <v>0</v>
      </c>
      <c r="I55" s="53" t="e">
        <f>IF(VLOOKUP(B55,'коначна табела финал'!$B$1:$AC$100,7,FALSE)&gt;10,VLOOKUP(B55,'коначна табела финал'!$B$1:$AC$100,6,FALSE),0)</f>
        <v>#N/A</v>
      </c>
      <c r="J55" s="57">
        <f>'коначна табела финал'!$G$11</f>
        <v>0</v>
      </c>
      <c r="K55" s="64" t="e">
        <f>VLOOKUP(B55,'коначна табела финал'!$B$13:$AA$96,$M$5+7,FALSE)</f>
        <v>#N/A</v>
      </c>
      <c r="L55" s="67" t="e">
        <f>IF(K55="није полагао/ла","није полагао/ла",VLOOKUP(B55,'коначна табела финал'!$B$13:$AA$96,18,FALSE))</f>
        <v>#N/A</v>
      </c>
      <c r="M55" s="69" t="e">
        <f t="shared" si="0"/>
        <v>#N/A</v>
      </c>
      <c r="N55" s="69" t="e">
        <f t="shared" si="1"/>
        <v>#N/A</v>
      </c>
      <c r="O55" s="45" t="e">
        <f t="shared" si="2"/>
        <v>#N/A</v>
      </c>
    </row>
    <row r="56" spans="1:15" ht="12.75" customHeight="1" x14ac:dyDescent="0.2">
      <c r="A56" s="35">
        <v>59</v>
      </c>
      <c r="B56" s="37"/>
      <c r="C56" s="42" t="e">
        <f>VLOOKUP(B56,'коначна табела финал'!$B$1:$AC$100,21,FALSE)</f>
        <v>#N/A</v>
      </c>
      <c r="D56" s="45" t="e">
        <f>VLOOKUP(B56,'коначна табела финал'!$B$1:$AC$100,20,FALSE)</f>
        <v>#N/A</v>
      </c>
      <c r="E56" s="48" t="e">
        <f>VLOOKUP(B56,'коначна табела финал'!$B$1:$V$100,2,FALSE)</f>
        <v>#N/A</v>
      </c>
      <c r="F56" s="53" t="e">
        <f>VLOOKUP(B56,'коначна табела финал'!$B$1:$AC$100,4,FALSE)</f>
        <v>#N/A</v>
      </c>
      <c r="G56" s="53" t="e">
        <f>IF(VLOOKUP(B56,'коначна табела финал'!$B$1:$AC$100,6,FALSE)&gt;10,VLOOKUP(B56,'коначна табела финал'!$B$1:$AC$100,5,FALSE),0)</f>
        <v>#N/A</v>
      </c>
      <c r="H56" s="57">
        <f>'коначна табела финал'!$F$11</f>
        <v>0</v>
      </c>
      <c r="I56" s="53" t="e">
        <f>IF(VLOOKUP(B56,'коначна табела финал'!$B$1:$AC$100,7,FALSE)&gt;10,VLOOKUP(B56,'коначна табела финал'!$B$1:$AC$100,6,FALSE),0)</f>
        <v>#N/A</v>
      </c>
      <c r="J56" s="57">
        <f>'коначна табела финал'!$G$11</f>
        <v>0</v>
      </c>
      <c r="K56" s="64" t="e">
        <f>VLOOKUP(B56,'коначна табела финал'!$B$13:$AA$96,$M$5+7,FALSE)</f>
        <v>#N/A</v>
      </c>
      <c r="L56" s="67" t="e">
        <f>IF(K56="није полагао/ла","није полагао/ла",VLOOKUP(B56,'коначна табела финал'!$B$13:$AA$96,18,FALSE))</f>
        <v>#N/A</v>
      </c>
      <c r="M56" s="69" t="e">
        <f t="shared" si="0"/>
        <v>#N/A</v>
      </c>
      <c r="N56" s="69" t="e">
        <f t="shared" si="1"/>
        <v>#N/A</v>
      </c>
      <c r="O56" s="45" t="e">
        <f t="shared" si="2"/>
        <v>#N/A</v>
      </c>
    </row>
    <row r="57" spans="1:15" ht="12.75" customHeight="1" x14ac:dyDescent="0.2">
      <c r="A57" s="35">
        <v>60</v>
      </c>
      <c r="B57" s="37"/>
      <c r="C57" s="42" t="e">
        <f>VLOOKUP(B57,'коначна табела финал'!$B$1:$AC$100,21,FALSE)</f>
        <v>#N/A</v>
      </c>
      <c r="D57" s="45" t="e">
        <f>VLOOKUP(B57,'коначна табела финал'!$B$1:$AC$100,20,FALSE)</f>
        <v>#N/A</v>
      </c>
      <c r="E57" s="48" t="e">
        <f>VLOOKUP(B57,'коначна табела финал'!$B$1:$V$100,2,FALSE)</f>
        <v>#N/A</v>
      </c>
      <c r="F57" s="53" t="e">
        <f>VLOOKUP(B57,'коначна табела финал'!$B$1:$AC$100,4,FALSE)</f>
        <v>#N/A</v>
      </c>
      <c r="G57" s="53" t="e">
        <f>IF(VLOOKUP(B57,'коначна табела финал'!$B$1:$AC$100,6,FALSE)&gt;10,VLOOKUP(B57,'коначна табела финал'!$B$1:$AC$100,5,FALSE),0)</f>
        <v>#N/A</v>
      </c>
      <c r="H57" s="57">
        <f>'коначна табела финал'!$F$11</f>
        <v>0</v>
      </c>
      <c r="I57" s="53" t="e">
        <f>IF(VLOOKUP(B57,'коначна табела финал'!$B$1:$AC$100,7,FALSE)&gt;10,VLOOKUP(B57,'коначна табела финал'!$B$1:$AC$100,6,FALSE),0)</f>
        <v>#N/A</v>
      </c>
      <c r="J57" s="57">
        <f>'коначна табела финал'!$G$11</f>
        <v>0</v>
      </c>
      <c r="K57" s="64" t="e">
        <f>VLOOKUP(B57,'коначна табела финал'!$B$13:$AA$96,$M$5+7,FALSE)</f>
        <v>#N/A</v>
      </c>
      <c r="L57" s="67" t="e">
        <f>IF(K57="није полагао/ла","није полагао/ла",VLOOKUP(B57,'коначна табела финал'!$B$13:$AA$96,18,FALSE))</f>
        <v>#N/A</v>
      </c>
      <c r="M57" s="69" t="e">
        <f t="shared" si="0"/>
        <v>#N/A</v>
      </c>
      <c r="N57" s="69" t="e">
        <f t="shared" si="1"/>
        <v>#N/A</v>
      </c>
      <c r="O57" s="45" t="e">
        <f t="shared" si="2"/>
        <v>#N/A</v>
      </c>
    </row>
    <row r="58" spans="1:15" ht="12.75" customHeight="1" x14ac:dyDescent="0.2">
      <c r="A58" s="35">
        <v>61</v>
      </c>
      <c r="B58" s="37"/>
      <c r="C58" s="42" t="e">
        <f>VLOOKUP(B58,'коначна табела финал'!$B$1:$AC$100,21,FALSE)</f>
        <v>#N/A</v>
      </c>
      <c r="D58" s="45" t="e">
        <f>VLOOKUP(B58,'коначна табела финал'!$B$1:$AC$100,20,FALSE)</f>
        <v>#N/A</v>
      </c>
      <c r="E58" s="48" t="e">
        <f>VLOOKUP(B58,'коначна табела финал'!$B$1:$V$100,2,FALSE)</f>
        <v>#N/A</v>
      </c>
      <c r="F58" s="53" t="e">
        <f>VLOOKUP(B58,'коначна табела финал'!$B$1:$AC$100,4,FALSE)</f>
        <v>#N/A</v>
      </c>
      <c r="G58" s="53" t="e">
        <f>IF(VLOOKUP(B58,'коначна табела финал'!$B$1:$AC$100,6,FALSE)&gt;10,VLOOKUP(B58,'коначна табела финал'!$B$1:$AC$100,5,FALSE),0)</f>
        <v>#N/A</v>
      </c>
      <c r="H58" s="57">
        <f>'коначна табела финал'!$F$11</f>
        <v>0</v>
      </c>
      <c r="I58" s="53" t="e">
        <f>IF(VLOOKUP(B58,'коначна табела финал'!$B$1:$AC$100,7,FALSE)&gt;10,VLOOKUP(B58,'коначна табела финал'!$B$1:$AC$100,6,FALSE),0)</f>
        <v>#N/A</v>
      </c>
      <c r="J58" s="57">
        <f>'коначна табела финал'!$G$11</f>
        <v>0</v>
      </c>
      <c r="K58" s="64" t="e">
        <f>VLOOKUP(B58,'коначна табела финал'!$B$13:$AA$96,$M$5+7,FALSE)</f>
        <v>#N/A</v>
      </c>
      <c r="L58" s="67" t="e">
        <f>IF(K58="није полагао/ла","није полагао/ла",VLOOKUP(B58,'коначна табела финал'!$B$13:$AA$96,18,FALSE))</f>
        <v>#N/A</v>
      </c>
      <c r="M58" s="69" t="e">
        <f t="shared" si="0"/>
        <v>#N/A</v>
      </c>
      <c r="N58" s="69" t="e">
        <f t="shared" si="1"/>
        <v>#N/A</v>
      </c>
      <c r="O58" s="45" t="e">
        <f t="shared" si="2"/>
        <v>#N/A</v>
      </c>
    </row>
    <row r="59" spans="1:15" ht="12.75" customHeight="1" x14ac:dyDescent="0.2">
      <c r="A59" s="35">
        <v>62</v>
      </c>
      <c r="B59" s="37"/>
      <c r="C59" s="42" t="e">
        <f>VLOOKUP(B59,'коначна табела финал'!$B$1:$AC$100,21,FALSE)</f>
        <v>#N/A</v>
      </c>
      <c r="D59" s="45" t="e">
        <f>VLOOKUP(B59,'коначна табела финал'!$B$1:$AC$100,20,FALSE)</f>
        <v>#N/A</v>
      </c>
      <c r="E59" s="48" t="e">
        <f>VLOOKUP(B59,'коначна табела финал'!$B$1:$V$100,2,FALSE)</f>
        <v>#N/A</v>
      </c>
      <c r="F59" s="53" t="e">
        <f>VLOOKUP(B59,'коначна табела финал'!$B$1:$AC$100,4,FALSE)</f>
        <v>#N/A</v>
      </c>
      <c r="G59" s="53" t="e">
        <f>IF(VLOOKUP(B59,'коначна табела финал'!$B$1:$AC$100,6,FALSE)&gt;10,VLOOKUP(B59,'коначна табела финал'!$B$1:$AC$100,5,FALSE),0)</f>
        <v>#N/A</v>
      </c>
      <c r="H59" s="57">
        <f>'коначна табела финал'!$F$11</f>
        <v>0</v>
      </c>
      <c r="I59" s="53" t="e">
        <f>IF(VLOOKUP(B59,'коначна табела финал'!$B$1:$AC$100,7,FALSE)&gt;10,VLOOKUP(B59,'коначна табела финал'!$B$1:$AC$100,6,FALSE),0)</f>
        <v>#N/A</v>
      </c>
      <c r="J59" s="57">
        <f>'коначна табела финал'!$G$11</f>
        <v>0</v>
      </c>
      <c r="K59" s="64" t="e">
        <f>VLOOKUP(B59,'коначна табела финал'!$B$13:$AA$96,$M$5+7,FALSE)</f>
        <v>#N/A</v>
      </c>
      <c r="L59" s="67" t="e">
        <f>IF(K59="није полагао/ла","није полагао/ла",VLOOKUP(B59,'коначна табела финал'!$B$13:$AA$96,18,FALSE))</f>
        <v>#N/A</v>
      </c>
      <c r="M59" s="69" t="e">
        <f t="shared" si="0"/>
        <v>#N/A</v>
      </c>
      <c r="N59" s="69" t="e">
        <f t="shared" si="1"/>
        <v>#N/A</v>
      </c>
      <c r="O59" s="45" t="e">
        <f t="shared" si="2"/>
        <v>#N/A</v>
      </c>
    </row>
    <row r="60" spans="1:15" ht="12.75" customHeight="1" x14ac:dyDescent="0.2">
      <c r="A60" s="35">
        <v>63</v>
      </c>
      <c r="B60" s="37"/>
      <c r="C60" s="42" t="e">
        <f>VLOOKUP(B60,'коначна табела финал'!$B$1:$AC$100,21,FALSE)</f>
        <v>#N/A</v>
      </c>
      <c r="D60" s="45" t="e">
        <f>VLOOKUP(B60,'коначна табела финал'!$B$1:$AC$100,20,FALSE)</f>
        <v>#N/A</v>
      </c>
      <c r="E60" s="48" t="e">
        <f>VLOOKUP(B60,'коначна табела финал'!$B$1:$V$100,2,FALSE)</f>
        <v>#N/A</v>
      </c>
      <c r="F60" s="53" t="e">
        <f>VLOOKUP(B60,'коначна табела финал'!$B$1:$AC$100,4,FALSE)</f>
        <v>#N/A</v>
      </c>
      <c r="G60" s="53" t="e">
        <f>IF(VLOOKUP(B60,'коначна табела финал'!$B$1:$AC$100,6,FALSE)&gt;10,VLOOKUP(B60,'коначна табела финал'!$B$1:$AC$100,5,FALSE),0)</f>
        <v>#N/A</v>
      </c>
      <c r="H60" s="57">
        <f>'коначна табела финал'!$F$11</f>
        <v>0</v>
      </c>
      <c r="I60" s="53" t="e">
        <f>IF(VLOOKUP(B60,'коначна табела финал'!$B$1:$AC$100,7,FALSE)&gt;10,VLOOKUP(B60,'коначна табела финал'!$B$1:$AC$100,6,FALSE),0)</f>
        <v>#N/A</v>
      </c>
      <c r="J60" s="57">
        <f>'коначна табела финал'!$G$11</f>
        <v>0</v>
      </c>
      <c r="K60" s="64" t="e">
        <f>VLOOKUP(B60,'коначна табела финал'!$B$13:$AA$96,$M$5+7,FALSE)</f>
        <v>#N/A</v>
      </c>
      <c r="L60" s="67" t="e">
        <f>IF(K60="није полагао/ла","није полагао/ла",VLOOKUP(B60,'коначна табела финал'!$B$13:$AA$96,18,FALSE))</f>
        <v>#N/A</v>
      </c>
      <c r="M60" s="69" t="e">
        <f t="shared" si="0"/>
        <v>#N/A</v>
      </c>
      <c r="N60" s="69" t="e">
        <f t="shared" si="1"/>
        <v>#N/A</v>
      </c>
      <c r="O60" s="45" t="e">
        <f t="shared" si="2"/>
        <v>#N/A</v>
      </c>
    </row>
    <row r="61" spans="1:15" ht="12.75" customHeight="1" x14ac:dyDescent="0.2">
      <c r="A61" s="35">
        <v>64</v>
      </c>
      <c r="B61" s="37"/>
      <c r="C61" s="42" t="e">
        <f>VLOOKUP(B61,'коначна табела финал'!$B$1:$AC$100,21,FALSE)</f>
        <v>#N/A</v>
      </c>
      <c r="D61" s="45" t="e">
        <f>VLOOKUP(B61,'коначна табела финал'!$B$1:$AC$100,20,FALSE)</f>
        <v>#N/A</v>
      </c>
      <c r="E61" s="48" t="e">
        <f>VLOOKUP(B61,'коначна табела финал'!$B$1:$V$100,2,FALSE)</f>
        <v>#N/A</v>
      </c>
      <c r="F61" s="53" t="e">
        <f>VLOOKUP(B61,'коначна табела финал'!$B$1:$AC$100,4,FALSE)</f>
        <v>#N/A</v>
      </c>
      <c r="G61" s="53" t="e">
        <f>IF(VLOOKUP(B61,'коначна табела финал'!$B$1:$AC$100,6,FALSE)&gt;10,VLOOKUP(B61,'коначна табела финал'!$B$1:$AC$100,5,FALSE),0)</f>
        <v>#N/A</v>
      </c>
      <c r="H61" s="57">
        <f>'коначна табела финал'!$F$11</f>
        <v>0</v>
      </c>
      <c r="I61" s="53" t="e">
        <f>IF(VLOOKUP(B61,'коначна табела финал'!$B$1:$AC$100,7,FALSE)&gt;10,VLOOKUP(B61,'коначна табела финал'!$B$1:$AC$100,6,FALSE),0)</f>
        <v>#N/A</v>
      </c>
      <c r="J61" s="57">
        <f>'коначна табела финал'!$G$11</f>
        <v>0</v>
      </c>
      <c r="K61" s="64" t="e">
        <f>VLOOKUP(B61,'коначна табела финал'!$B$13:$AA$96,$M$5+7,FALSE)</f>
        <v>#N/A</v>
      </c>
      <c r="L61" s="67" t="e">
        <f>IF(K61="није полагао/ла","није полагао/ла",VLOOKUP(B61,'коначна табела финал'!$B$13:$AA$96,18,FALSE))</f>
        <v>#N/A</v>
      </c>
      <c r="M61" s="69" t="e">
        <f t="shared" si="0"/>
        <v>#N/A</v>
      </c>
      <c r="N61" s="69" t="e">
        <f t="shared" si="1"/>
        <v>#N/A</v>
      </c>
      <c r="O61" s="45" t="e">
        <f t="shared" si="2"/>
        <v>#N/A</v>
      </c>
    </row>
    <row r="62" spans="1:15" ht="12.75" customHeight="1" x14ac:dyDescent="0.2">
      <c r="A62" s="35">
        <v>65</v>
      </c>
      <c r="B62" s="37"/>
      <c r="C62" s="42" t="e">
        <f>VLOOKUP(B62,'коначна табела финал'!$B$1:$AC$100,21,FALSE)</f>
        <v>#N/A</v>
      </c>
      <c r="D62" s="45" t="e">
        <f>VLOOKUP(B62,'коначна табела финал'!$B$1:$AC$100,20,FALSE)</f>
        <v>#N/A</v>
      </c>
      <c r="E62" s="48" t="e">
        <f>VLOOKUP(B62,'коначна табела финал'!$B$1:$V$100,2,FALSE)</f>
        <v>#N/A</v>
      </c>
      <c r="F62" s="53" t="e">
        <f>VLOOKUP(B62,'коначна табела финал'!$B$1:$AC$100,4,FALSE)</f>
        <v>#N/A</v>
      </c>
      <c r="G62" s="53" t="e">
        <f>IF(VLOOKUP(B62,'коначна табела финал'!$B$1:$AC$100,6,FALSE)&gt;10,VLOOKUP(B62,'коначна табела финал'!$B$1:$AC$100,5,FALSE),0)</f>
        <v>#N/A</v>
      </c>
      <c r="H62" s="57">
        <f>'коначна табела финал'!$F$11</f>
        <v>0</v>
      </c>
      <c r="I62" s="53" t="e">
        <f>IF(VLOOKUP(B62,'коначна табела финал'!$B$1:$AC$100,7,FALSE)&gt;10,VLOOKUP(B62,'коначна табела финал'!$B$1:$AC$100,6,FALSE),0)</f>
        <v>#N/A</v>
      </c>
      <c r="J62" s="57">
        <f>'коначна табела финал'!$G$11</f>
        <v>0</v>
      </c>
      <c r="K62" s="64" t="e">
        <f>VLOOKUP(B62,'коначна табела финал'!$B$13:$AA$96,$M$5+7,FALSE)</f>
        <v>#N/A</v>
      </c>
      <c r="L62" s="67" t="e">
        <f>IF(K62="није полагао/ла","није полагао/ла",VLOOKUP(B62,'коначна табела финал'!$B$13:$AA$96,18,FALSE))</f>
        <v>#N/A</v>
      </c>
      <c r="M62" s="69" t="e">
        <f t="shared" si="0"/>
        <v>#N/A</v>
      </c>
      <c r="N62" s="69" t="e">
        <f t="shared" si="1"/>
        <v>#N/A</v>
      </c>
      <c r="O62" s="45" t="e">
        <f t="shared" si="2"/>
        <v>#N/A</v>
      </c>
    </row>
    <row r="63" spans="1:15" ht="13.5" customHeight="1" x14ac:dyDescent="0.2">
      <c r="A63" s="35">
        <v>66</v>
      </c>
      <c r="B63" s="37"/>
      <c r="C63" s="42" t="e">
        <f>VLOOKUP(B63,'коначна табела финал'!$B$1:$AC$100,21,FALSE)</f>
        <v>#N/A</v>
      </c>
      <c r="D63" s="45" t="e">
        <f>VLOOKUP(B63,'коначна табела финал'!$B$1:$AC$100,20,FALSE)</f>
        <v>#N/A</v>
      </c>
      <c r="E63" s="48" t="e">
        <f>VLOOKUP(B63,'коначна табела финал'!$B$1:$V$100,2,FALSE)</f>
        <v>#N/A</v>
      </c>
      <c r="F63" s="53" t="e">
        <f>VLOOKUP(B63,'коначна табела финал'!$B$1:$AC$100,4,FALSE)</f>
        <v>#N/A</v>
      </c>
      <c r="G63" s="53" t="e">
        <f>IF(VLOOKUP(B63,'коначна табела финал'!$B$1:$AC$100,6,FALSE)&gt;10,VLOOKUP(B63,'коначна табела финал'!$B$1:$AC$100,5,FALSE),0)</f>
        <v>#N/A</v>
      </c>
      <c r="H63" s="57">
        <f>'коначна табела финал'!$F$11</f>
        <v>0</v>
      </c>
      <c r="I63" s="53" t="e">
        <f>IF(VLOOKUP(B63,'коначна табела финал'!$B$1:$AC$100,7,FALSE)&gt;10,VLOOKUP(B63,'коначна табела финал'!$B$1:$AC$100,6,FALSE),0)</f>
        <v>#N/A</v>
      </c>
      <c r="J63" s="57">
        <f>'коначна табела финал'!$G$11</f>
        <v>0</v>
      </c>
      <c r="K63" s="64" t="e">
        <f>VLOOKUP(B63,'коначна табела финал'!$B$13:$AA$96,$M$5+7,FALSE)</f>
        <v>#N/A</v>
      </c>
      <c r="L63" s="67" t="e">
        <f>IF(K63="није полагао/ла","није полагао/ла",VLOOKUP(B63,'коначна табела финал'!$B$13:$AA$96,18,FALSE))</f>
        <v>#N/A</v>
      </c>
      <c r="M63" s="69" t="e">
        <f t="shared" si="0"/>
        <v>#N/A</v>
      </c>
      <c r="N63" s="69" t="e">
        <f t="shared" si="1"/>
        <v>#N/A</v>
      </c>
      <c r="O63" s="45" t="e">
        <f t="shared" si="2"/>
        <v>#N/A</v>
      </c>
    </row>
    <row r="64" spans="1:15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">
      <c r="A65" s="2"/>
      <c r="B65" s="2"/>
      <c r="C65" s="2"/>
      <c r="D65" s="2"/>
      <c r="E65" s="221" t="s">
        <v>275</v>
      </c>
      <c r="F65" s="222"/>
      <c r="G65" s="114"/>
      <c r="H65" s="221" t="s">
        <v>276</v>
      </c>
      <c r="I65" s="222"/>
      <c r="J65" s="221" t="s">
        <v>277</v>
      </c>
      <c r="K65" s="222"/>
      <c r="L65" s="221" t="s">
        <v>278</v>
      </c>
      <c r="M65" s="218"/>
      <c r="N65" s="218"/>
      <c r="O65" s="222"/>
    </row>
    <row r="66" spans="1:15" ht="12.75" customHeight="1" x14ac:dyDescent="0.2">
      <c r="A66" s="2"/>
      <c r="B66" s="2"/>
      <c r="C66" s="2"/>
      <c r="D66" s="2"/>
      <c r="E66" s="104" t="s">
        <v>279</v>
      </c>
      <c r="F66" s="212">
        <f>COUNTIF('коначна табела финал'!$V$13:$V$91,"С")</f>
        <v>55</v>
      </c>
      <c r="G66" s="213"/>
      <c r="H66" s="223">
        <f>COUNTIF($M$12:$M$63,"&gt;=0")</f>
        <v>0</v>
      </c>
      <c r="I66" s="222"/>
      <c r="J66" s="223">
        <f>COUNTIF($M$12:$M$63,"&gt;50,9")</f>
        <v>0</v>
      </c>
      <c r="K66" s="222"/>
      <c r="L66" s="214" t="str">
        <f>IF(AND(H66&gt;0,J66=0),0,IF(AND(H66=0,J66=0),"*",SUMIF(M12:M63,"&gt;50,9")/J66))</f>
        <v>*</v>
      </c>
      <c r="M66" s="215"/>
      <c r="N66" s="215"/>
      <c r="O66" s="216" t="str">
        <f t="shared" ref="O66:O67" si="3">IF(L66="*","*",IF(L66&gt;90.9,"10/A (изузетан одличан)",IF(L66&gt;80.9,"9/Б (одличан)",IF(L66&gt;70.9,"8/Ц (врло добар)",IF(L66&gt;60.9,"7/Д (добар)",IF(L66&gt;50.9,"6/Е (довољан)","5/Ф (није положио)"))))))</f>
        <v>*</v>
      </c>
    </row>
    <row r="67" spans="1:15" ht="13.5" customHeight="1" x14ac:dyDescent="0.2">
      <c r="A67" s="2"/>
      <c r="B67" s="2"/>
      <c r="C67" s="2"/>
      <c r="D67" s="2"/>
      <c r="E67" s="104" t="s">
        <v>280</v>
      </c>
      <c r="F67" s="212">
        <f>COUNTIF('коначна табела финал'!$V$13:$V$91,"О")</f>
        <v>0</v>
      </c>
      <c r="G67" s="213"/>
      <c r="H67" s="223">
        <f>COUNTIF($N$12:$N$63,"&gt;=0")</f>
        <v>0</v>
      </c>
      <c r="I67" s="222"/>
      <c r="J67" s="223">
        <f>COUNTIF($N$12:$N$63,"&gt;50,9")</f>
        <v>0</v>
      </c>
      <c r="K67" s="222"/>
      <c r="L67" s="214" t="str">
        <f>IF(AND(H67&gt;0,J67=0),0,IF(AND(H67=0,J67=0),"*",SUMIF(M12:M63,"&gt;50,9")/J67))</f>
        <v>*</v>
      </c>
      <c r="M67" s="215"/>
      <c r="N67" s="215"/>
      <c r="O67" s="216" t="str">
        <f t="shared" si="3"/>
        <v>*</v>
      </c>
    </row>
    <row r="68" spans="1:1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 t="s">
        <v>281</v>
      </c>
      <c r="K69" s="2"/>
      <c r="L69" s="2"/>
      <c r="M69" s="2"/>
      <c r="N69" s="2"/>
      <c r="O69" s="2"/>
    </row>
  </sheetData>
  <mergeCells count="28">
    <mergeCell ref="A1:O1"/>
    <mergeCell ref="D2:H2"/>
    <mergeCell ref="E65:F65"/>
    <mergeCell ref="A2:C2"/>
    <mergeCell ref="B10:B11"/>
    <mergeCell ref="A10:A11"/>
    <mergeCell ref="C10:C11"/>
    <mergeCell ref="A4:C4"/>
    <mergeCell ref="A3:C3"/>
    <mergeCell ref="A7:O7"/>
    <mergeCell ref="I10:J10"/>
    <mergeCell ref="G10:H10"/>
    <mergeCell ref="O10:O11"/>
    <mergeCell ref="I2:O2"/>
    <mergeCell ref="I3:O3"/>
    <mergeCell ref="I4:O4"/>
    <mergeCell ref="L65:O65"/>
    <mergeCell ref="E10:E11"/>
    <mergeCell ref="D10:D11"/>
    <mergeCell ref="D4:H4"/>
    <mergeCell ref="D3:H3"/>
    <mergeCell ref="I5:K5"/>
    <mergeCell ref="H65:I65"/>
    <mergeCell ref="J65:K65"/>
    <mergeCell ref="H66:I66"/>
    <mergeCell ref="J67:K67"/>
    <mergeCell ref="H67:I67"/>
    <mergeCell ref="J66:K66"/>
  </mergeCells>
  <dataValidations count="1">
    <dataValidation type="list" allowBlank="1" sqref="L5">
      <formula1>"јан/феб I,јан/феб II,јун/јул I,јун/јул II,сеп I,сеп II,окт I,окт II,апр"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ColWidth="17.28515625" defaultRowHeight="15.75" customHeight="1" x14ac:dyDescent="0.2"/>
  <cols>
    <col min="1" max="1" width="10.28515625" customWidth="1"/>
    <col min="2" max="2" width="37" customWidth="1"/>
    <col min="3" max="3" width="22.28515625" customWidth="1"/>
    <col min="4" max="4" width="21.28515625" customWidth="1"/>
    <col min="5" max="5" width="24.42578125" customWidth="1"/>
    <col min="6" max="6" width="25" customWidth="1"/>
  </cols>
  <sheetData>
    <row r="1" spans="1:6" ht="172.5" customHeight="1" x14ac:dyDescent="0.2">
      <c r="A1" s="88"/>
      <c r="B1" s="88"/>
      <c r="C1" s="88"/>
      <c r="D1" s="88"/>
      <c r="E1" s="88"/>
      <c r="F1" s="89"/>
    </row>
    <row r="2" spans="1:6" ht="12" customHeight="1" x14ac:dyDescent="0.2">
      <c r="A2" s="88"/>
      <c r="B2" s="90"/>
      <c r="C2" s="91"/>
      <c r="D2" s="90"/>
      <c r="E2" s="90"/>
      <c r="F2" s="92" t="s">
        <v>113</v>
      </c>
    </row>
    <row r="3" spans="1:6" ht="9" customHeight="1" x14ac:dyDescent="0.2">
      <c r="A3" s="88"/>
      <c r="B3" s="93" t="s">
        <v>114</v>
      </c>
      <c r="C3" s="94" t="e">
        <f>VLOOKUP(F2,'коначна табела финал'!$B$13:$T$96,4,FALSE)</f>
        <v>#N/A</v>
      </c>
      <c r="D3" s="90"/>
      <c r="E3" s="90"/>
    </row>
    <row r="4" spans="1:6" ht="9" customHeight="1" x14ac:dyDescent="0.2">
      <c r="A4" s="88"/>
      <c r="B4" s="93" t="s">
        <v>115</v>
      </c>
      <c r="C4" s="94" t="e">
        <f>VLOOKUP(F2,'коначна табела финал'!$B$13:$T$96,5,FALSE)</f>
        <v>#N/A</v>
      </c>
      <c r="D4" s="90"/>
      <c r="E4" s="90"/>
      <c r="F4" s="95" t="e">
        <f>VLOOKUP(F2,'коначна табела финал'!B13:D96,2,FALSE)</f>
        <v>#N/A</v>
      </c>
    </row>
    <row r="5" spans="1:6" ht="9" customHeight="1" x14ac:dyDescent="0.2">
      <c r="A5" s="88"/>
      <c r="B5" s="93" t="s">
        <v>118</v>
      </c>
      <c r="C5" s="94" t="e">
        <f>VLOOKUP(F2,'коначна табела финал'!$B$13:$T$96,6,FALSE)</f>
        <v>#N/A</v>
      </c>
      <c r="D5" s="90"/>
      <c r="E5" s="90"/>
      <c r="F5" s="90"/>
    </row>
    <row r="6" spans="1:6" ht="9" customHeight="1" x14ac:dyDescent="0.2">
      <c r="A6" s="88"/>
      <c r="B6" s="97" t="s">
        <v>119</v>
      </c>
      <c r="C6" s="98" t="e">
        <f>VLOOKUP(F2,'коначна табела финал'!$B$13:$V$79,$F$7+7,FALSE)</f>
        <v>#N/A</v>
      </c>
      <c r="D6" s="99">
        <f>HLOOKUP(F6,'коначна табела финал'!H10:O11,2,FALSE)</f>
        <v>0</v>
      </c>
      <c r="E6" s="90"/>
      <c r="F6" s="100" t="s">
        <v>49</v>
      </c>
    </row>
    <row r="7" spans="1:6" ht="9" customHeight="1" x14ac:dyDescent="0.2">
      <c r="A7" s="88"/>
      <c r="B7" s="97" t="s">
        <v>126</v>
      </c>
      <c r="C7" s="98" t="e">
        <f>VLOOKUP(F2,'коначна табела финал'!$B$13:$T$79,18,FALSE)</f>
        <v>#N/A</v>
      </c>
      <c r="D7" s="90"/>
      <c r="E7" s="90"/>
      <c r="F7" s="101" t="str">
        <f>HLOOKUP(F6,'коначна табела финал'!I10:Q12,3,FALSE)</f>
        <v>5</v>
      </c>
    </row>
    <row r="8" spans="1:6" ht="9" customHeight="1" x14ac:dyDescent="0.2">
      <c r="A8" s="88"/>
      <c r="B8" s="90"/>
      <c r="C8" s="102" t="e">
        <f>IF(OR(C7="није полагао/ла",C7="нема услов"),C7,IF(C7&gt;90.9,"10/A",IF(C7&gt;80.9,"9/Б",IF(C7&gt;70.9,"8/Ц",IF(C7&gt;60.9,"7/Д",IF(C7&gt;50.9,"6/Е","5/Ф"))))))</f>
        <v>#N/A</v>
      </c>
      <c r="D8" s="103" t="e">
        <f>IF(OR(C8="нема услов",C8="није полагао/ла"),"",IF(C8="10/A","изузетан одличан",IF(C8="9/Б","одличан",IF(C8="8/Ц","врло добар",IF(C8="7/Д","добар",IF(C8="6/Е","довољан","није положио"))))))</f>
        <v>#N/A</v>
      </c>
      <c r="E8" s="90"/>
      <c r="F8" s="90"/>
    </row>
    <row r="9" spans="1:6" ht="1.5" customHeight="1" x14ac:dyDescent="0.2">
      <c r="A9" s="88"/>
      <c r="B9" s="88"/>
      <c r="C9" s="88"/>
      <c r="D9" s="88"/>
      <c r="E9" s="88"/>
      <c r="F9" s="88"/>
    </row>
  </sheetData>
  <dataValidations count="1">
    <dataValidation type="list" allowBlank="1" sqref="F6">
      <formula1>"јан/феб I,јан/феб II,јун/јул I,јун/јул II,сеп I,сеп II,окт I,окт II,апр"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/>
  </sheetViews>
  <sheetFormatPr defaultColWidth="17.28515625" defaultRowHeight="15.75" customHeight="1" x14ac:dyDescent="0.2"/>
  <cols>
    <col min="1" max="1" width="31.28515625" customWidth="1"/>
    <col min="2" max="2" width="6.42578125" customWidth="1"/>
    <col min="3" max="3" width="21.5703125" customWidth="1"/>
    <col min="4" max="4" width="5.7109375" customWidth="1"/>
    <col min="5" max="5" width="19" customWidth="1"/>
    <col min="6" max="6" width="6" customWidth="1"/>
    <col min="7" max="7" width="20.5703125" customWidth="1"/>
    <col min="8" max="8" width="6.28515625" customWidth="1"/>
  </cols>
  <sheetData>
    <row r="1" spans="1:8" ht="36" customHeight="1" x14ac:dyDescent="0.2">
      <c r="A1" s="234" t="s">
        <v>135</v>
      </c>
      <c r="B1" s="218"/>
      <c r="C1" s="218"/>
      <c r="D1" s="218"/>
      <c r="E1" s="218"/>
      <c r="F1" s="222"/>
      <c r="G1" s="234" t="s">
        <v>138</v>
      </c>
      <c r="H1" s="222"/>
    </row>
    <row r="2" spans="1:8" ht="22.5" customHeight="1" x14ac:dyDescent="0.2">
      <c r="A2" s="104" t="s">
        <v>139</v>
      </c>
      <c r="B2" s="104"/>
      <c r="C2" s="237" t="s">
        <v>140</v>
      </c>
      <c r="D2" s="218"/>
      <c r="E2" s="218"/>
      <c r="F2" s="218"/>
      <c r="G2" s="218"/>
      <c r="H2" s="222"/>
    </row>
    <row r="3" spans="1:8" ht="22.5" customHeight="1" x14ac:dyDescent="0.2">
      <c r="A3" s="104" t="s">
        <v>141</v>
      </c>
      <c r="B3" s="104"/>
      <c r="C3" s="237" t="s">
        <v>4</v>
      </c>
      <c r="D3" s="218"/>
      <c r="E3" s="218"/>
      <c r="F3" s="222"/>
      <c r="G3" s="104" t="s">
        <v>142</v>
      </c>
      <c r="H3" s="105">
        <v>2</v>
      </c>
    </row>
    <row r="4" spans="1:8" ht="22.5" customHeight="1" x14ac:dyDescent="0.2">
      <c r="A4" s="106" t="s">
        <v>145</v>
      </c>
      <c r="B4" s="106"/>
      <c r="C4" s="105">
        <v>1</v>
      </c>
      <c r="D4" s="106"/>
      <c r="E4" s="106" t="s">
        <v>146</v>
      </c>
      <c r="F4" s="105">
        <v>2</v>
      </c>
      <c r="G4" s="107" t="s">
        <v>147</v>
      </c>
      <c r="H4" s="108"/>
    </row>
    <row r="5" spans="1:8" ht="22.5" customHeight="1" x14ac:dyDescent="0.2">
      <c r="A5" s="104" t="s">
        <v>148</v>
      </c>
      <c r="B5" s="104"/>
      <c r="C5" s="109" t="s">
        <v>149</v>
      </c>
      <c r="D5" s="104"/>
      <c r="E5" s="104" t="s">
        <v>150</v>
      </c>
      <c r="F5" s="238" t="s">
        <v>151</v>
      </c>
      <c r="G5" s="218"/>
      <c r="H5" s="218"/>
    </row>
    <row r="6" spans="1:8" ht="37.5" customHeight="1" x14ac:dyDescent="0.2">
      <c r="A6" s="105" t="s">
        <v>152</v>
      </c>
      <c r="B6" s="109"/>
      <c r="C6" s="235"/>
      <c r="D6" s="222"/>
      <c r="E6" s="235"/>
      <c r="F6" s="222"/>
      <c r="G6" s="235"/>
      <c r="H6" s="222"/>
    </row>
    <row r="7" spans="1:8" ht="19.5" customHeight="1" x14ac:dyDescent="0.2">
      <c r="A7" s="105" t="s">
        <v>155</v>
      </c>
      <c r="B7" s="109"/>
      <c r="C7" s="236"/>
      <c r="D7" s="222"/>
      <c r="E7" s="235"/>
      <c r="F7" s="222"/>
      <c r="G7" s="235"/>
      <c r="H7" s="222"/>
    </row>
    <row r="8" spans="1:8" ht="15.75" customHeight="1" x14ac:dyDescent="0.2">
      <c r="A8" s="110" t="s">
        <v>156</v>
      </c>
      <c r="B8" s="111" t="s">
        <v>41</v>
      </c>
      <c r="C8" s="112" t="s">
        <v>20</v>
      </c>
      <c r="D8" s="112" t="s">
        <v>157</v>
      </c>
      <c r="E8" s="112" t="s">
        <v>20</v>
      </c>
      <c r="F8" s="112" t="s">
        <v>157</v>
      </c>
      <c r="G8" s="112" t="s">
        <v>20</v>
      </c>
      <c r="H8" s="112" t="s">
        <v>157</v>
      </c>
    </row>
    <row r="9" spans="1:8" ht="18.75" customHeight="1" x14ac:dyDescent="0.2">
      <c r="A9" s="68" t="s">
        <v>66</v>
      </c>
      <c r="B9" s="113"/>
      <c r="C9" s="114"/>
      <c r="D9" s="114"/>
      <c r="E9" s="114"/>
      <c r="F9" s="114"/>
      <c r="G9" s="114"/>
      <c r="H9" s="114"/>
    </row>
    <row r="10" spans="1:8" ht="18.75" customHeight="1" x14ac:dyDescent="0.2">
      <c r="A10" s="68" t="s">
        <v>69</v>
      </c>
      <c r="B10" s="113"/>
      <c r="C10" s="104"/>
      <c r="D10" s="104"/>
      <c r="E10" s="114"/>
      <c r="F10" s="104"/>
      <c r="G10" s="104"/>
      <c r="H10" s="104"/>
    </row>
    <row r="11" spans="1:8" ht="18.75" customHeight="1" x14ac:dyDescent="0.2">
      <c r="A11" s="68" t="s">
        <v>71</v>
      </c>
      <c r="B11" s="113"/>
      <c r="C11" s="104"/>
      <c r="D11" s="104"/>
      <c r="E11" s="114"/>
      <c r="F11" s="104"/>
      <c r="G11" s="104"/>
      <c r="H11" s="104"/>
    </row>
    <row r="12" spans="1:8" ht="18.75" customHeight="1" x14ac:dyDescent="0.2">
      <c r="A12" s="68" t="s">
        <v>73</v>
      </c>
      <c r="B12" s="113"/>
      <c r="C12" s="104"/>
      <c r="D12" s="104"/>
      <c r="E12" s="114"/>
      <c r="F12" s="104"/>
      <c r="G12" s="104"/>
      <c r="H12" s="104"/>
    </row>
    <row r="13" spans="1:8" ht="18.75" customHeight="1" x14ac:dyDescent="0.2">
      <c r="A13" s="68" t="s">
        <v>75</v>
      </c>
      <c r="B13" s="113"/>
      <c r="C13" s="104"/>
      <c r="D13" s="104"/>
      <c r="E13" s="114"/>
      <c r="F13" s="104"/>
      <c r="G13" s="104"/>
      <c r="H13" s="104"/>
    </row>
    <row r="14" spans="1:8" ht="18.75" customHeight="1" x14ac:dyDescent="0.2">
      <c r="A14" s="68" t="s">
        <v>77</v>
      </c>
      <c r="B14" s="113"/>
      <c r="C14" s="104"/>
      <c r="D14" s="104"/>
      <c r="E14" s="114"/>
      <c r="F14" s="104"/>
      <c r="G14" s="104"/>
      <c r="H14" s="104"/>
    </row>
    <row r="15" spans="1:8" ht="18.75" customHeight="1" x14ac:dyDescent="0.2">
      <c r="A15" s="68" t="s">
        <v>79</v>
      </c>
      <c r="B15" s="113"/>
      <c r="C15" s="104"/>
      <c r="D15" s="104"/>
      <c r="E15" s="114"/>
      <c r="F15" s="104"/>
      <c r="G15" s="104"/>
      <c r="H15" s="104"/>
    </row>
    <row r="16" spans="1:8" ht="18.75" customHeight="1" x14ac:dyDescent="0.2">
      <c r="A16" s="68" t="s">
        <v>81</v>
      </c>
      <c r="B16" s="113"/>
      <c r="C16" s="104"/>
      <c r="D16" s="104"/>
      <c r="E16" s="114"/>
      <c r="F16" s="104"/>
      <c r="G16" s="104"/>
      <c r="H16" s="104"/>
    </row>
    <row r="17" spans="1:8" ht="18.75" customHeight="1" x14ac:dyDescent="0.2">
      <c r="A17" s="68" t="s">
        <v>84</v>
      </c>
      <c r="B17" s="113"/>
      <c r="C17" s="104"/>
      <c r="D17" s="104"/>
      <c r="E17" s="114"/>
      <c r="F17" s="104"/>
      <c r="G17" s="104"/>
      <c r="H17" s="104"/>
    </row>
    <row r="18" spans="1:8" ht="18.75" customHeight="1" x14ac:dyDescent="0.2">
      <c r="A18" s="68" t="s">
        <v>87</v>
      </c>
      <c r="B18" s="113"/>
      <c r="C18" s="104"/>
      <c r="D18" s="104"/>
      <c r="E18" s="114"/>
      <c r="F18" s="104"/>
      <c r="G18" s="104"/>
      <c r="H18" s="104"/>
    </row>
    <row r="19" spans="1:8" ht="18.75" customHeight="1" x14ac:dyDescent="0.2">
      <c r="A19" s="68" t="s">
        <v>90</v>
      </c>
      <c r="B19" s="113"/>
      <c r="C19" s="104"/>
      <c r="D19" s="104"/>
      <c r="E19" s="114"/>
      <c r="F19" s="104"/>
      <c r="G19" s="104"/>
      <c r="H19" s="104"/>
    </row>
    <row r="20" spans="1:8" ht="18.75" customHeight="1" x14ac:dyDescent="0.2">
      <c r="A20" s="68" t="s">
        <v>92</v>
      </c>
      <c r="B20" s="113"/>
      <c r="C20" s="104"/>
      <c r="D20" s="104"/>
      <c r="E20" s="114"/>
      <c r="F20" s="104"/>
      <c r="G20" s="104"/>
      <c r="H20" s="104"/>
    </row>
    <row r="21" spans="1:8" ht="18.75" customHeight="1" x14ac:dyDescent="0.2">
      <c r="A21" s="68" t="s">
        <v>94</v>
      </c>
      <c r="B21" s="113"/>
      <c r="C21" s="104"/>
      <c r="D21" s="104"/>
      <c r="E21" s="114"/>
      <c r="F21" s="104"/>
      <c r="G21" s="104"/>
      <c r="H21" s="104"/>
    </row>
    <row r="22" spans="1:8" ht="18.75" customHeight="1" x14ac:dyDescent="0.2">
      <c r="A22" s="68" t="s">
        <v>96</v>
      </c>
      <c r="B22" s="113"/>
      <c r="C22" s="104"/>
      <c r="D22" s="104"/>
      <c r="E22" s="114"/>
      <c r="F22" s="104"/>
      <c r="G22" s="104"/>
      <c r="H22" s="104"/>
    </row>
    <row r="23" spans="1:8" ht="18.75" customHeight="1" x14ac:dyDescent="0.2">
      <c r="A23" s="68" t="s">
        <v>98</v>
      </c>
      <c r="B23" s="113"/>
      <c r="C23" s="104"/>
      <c r="D23" s="104"/>
      <c r="E23" s="114"/>
      <c r="F23" s="104"/>
      <c r="G23" s="104"/>
      <c r="H23" s="104"/>
    </row>
    <row r="24" spans="1:8" ht="18.75" customHeight="1" x14ac:dyDescent="0.2">
      <c r="A24" s="68" t="s">
        <v>100</v>
      </c>
      <c r="B24" s="113"/>
      <c r="C24" s="104"/>
      <c r="D24" s="104"/>
      <c r="E24" s="114"/>
      <c r="F24" s="104"/>
      <c r="G24" s="104"/>
      <c r="H24" s="104"/>
    </row>
    <row r="25" spans="1:8" ht="18.75" customHeight="1" x14ac:dyDescent="0.2">
      <c r="A25" s="68" t="s">
        <v>102</v>
      </c>
      <c r="B25" s="113"/>
      <c r="C25" s="104"/>
      <c r="D25" s="104"/>
      <c r="E25" s="114"/>
      <c r="F25" s="104"/>
      <c r="G25" s="104"/>
      <c r="H25" s="104"/>
    </row>
    <row r="26" spans="1:8" ht="18.75" customHeight="1" x14ac:dyDescent="0.2">
      <c r="A26" s="68" t="s">
        <v>104</v>
      </c>
      <c r="B26" s="113"/>
      <c r="C26" s="104"/>
      <c r="D26" s="104"/>
      <c r="E26" s="114"/>
      <c r="F26" s="104"/>
      <c r="G26" s="104"/>
      <c r="H26" s="104"/>
    </row>
    <row r="27" spans="1:8" ht="18.75" customHeight="1" x14ac:dyDescent="0.2">
      <c r="A27" s="68" t="s">
        <v>106</v>
      </c>
      <c r="B27" s="113"/>
      <c r="C27" s="104"/>
      <c r="D27" s="104"/>
      <c r="E27" s="114"/>
      <c r="F27" s="104"/>
      <c r="G27" s="104"/>
      <c r="H27" s="104"/>
    </row>
    <row r="28" spans="1:8" ht="18.75" customHeight="1" x14ac:dyDescent="0.2">
      <c r="A28" s="68" t="s">
        <v>108</v>
      </c>
      <c r="B28" s="113"/>
      <c r="C28" s="104"/>
      <c r="D28" s="104"/>
      <c r="E28" s="114"/>
      <c r="F28" s="104"/>
      <c r="G28" s="104"/>
      <c r="H28" s="104"/>
    </row>
    <row r="29" spans="1:8" ht="18.75" customHeight="1" x14ac:dyDescent="0.2">
      <c r="A29" s="68" t="s">
        <v>110</v>
      </c>
      <c r="B29" s="113"/>
      <c r="C29" s="104"/>
      <c r="D29" s="104"/>
      <c r="E29" s="114"/>
      <c r="F29" s="104"/>
      <c r="G29" s="104"/>
      <c r="H29" s="104"/>
    </row>
    <row r="30" spans="1:8" ht="18.75" customHeight="1" x14ac:dyDescent="0.2">
      <c r="A30" s="68" t="s">
        <v>112</v>
      </c>
      <c r="B30" s="113"/>
      <c r="C30" s="104"/>
      <c r="D30" s="104"/>
      <c r="E30" s="114"/>
      <c r="F30" s="104"/>
      <c r="G30" s="104"/>
      <c r="H30" s="104"/>
    </row>
    <row r="31" spans="1:8" ht="18.75" customHeight="1" x14ac:dyDescent="0.2">
      <c r="A31" s="68" t="s">
        <v>117</v>
      </c>
      <c r="B31" s="113"/>
      <c r="C31" s="104"/>
      <c r="D31" s="104"/>
      <c r="E31" s="114"/>
      <c r="F31" s="104"/>
      <c r="G31" s="104"/>
      <c r="H31" s="104"/>
    </row>
    <row r="32" spans="1:8" ht="18.75" customHeight="1" x14ac:dyDescent="0.2">
      <c r="A32" s="68" t="s">
        <v>121</v>
      </c>
      <c r="B32" s="113"/>
      <c r="C32" s="104"/>
      <c r="D32" s="104"/>
      <c r="E32" s="114"/>
      <c r="F32" s="104"/>
      <c r="G32" s="104"/>
      <c r="H32" s="104"/>
    </row>
    <row r="33" spans="1:8" ht="18.75" customHeight="1" x14ac:dyDescent="0.2">
      <c r="A33" s="68" t="s">
        <v>123</v>
      </c>
      <c r="B33" s="113"/>
      <c r="C33" s="104"/>
      <c r="D33" s="104"/>
      <c r="E33" s="114"/>
      <c r="F33" s="104"/>
      <c r="G33" s="104"/>
      <c r="H33" s="104"/>
    </row>
    <row r="34" spans="1:8" ht="18.75" customHeight="1" x14ac:dyDescent="0.2">
      <c r="A34" s="68" t="s">
        <v>125</v>
      </c>
      <c r="B34" s="113"/>
      <c r="C34" s="104"/>
      <c r="D34" s="104"/>
      <c r="E34" s="114"/>
      <c r="F34" s="104"/>
      <c r="G34" s="104"/>
      <c r="H34" s="104"/>
    </row>
    <row r="35" spans="1:8" ht="18.75" customHeight="1" x14ac:dyDescent="0.2">
      <c r="A35" s="68" t="s">
        <v>128</v>
      </c>
      <c r="B35" s="113"/>
      <c r="C35" s="104"/>
      <c r="D35" s="104"/>
      <c r="E35" s="114"/>
      <c r="F35" s="104"/>
      <c r="G35" s="104"/>
      <c r="H35" s="104"/>
    </row>
    <row r="36" spans="1:8" ht="18.75" customHeight="1" x14ac:dyDescent="0.2">
      <c r="A36" s="68" t="s">
        <v>130</v>
      </c>
      <c r="B36" s="113"/>
      <c r="C36" s="104"/>
      <c r="D36" s="104"/>
      <c r="E36" s="114"/>
      <c r="F36" s="104"/>
      <c r="G36" s="104"/>
      <c r="H36" s="104"/>
    </row>
    <row r="37" spans="1:8" ht="18.75" customHeight="1" x14ac:dyDescent="0.2">
      <c r="A37" s="68" t="s">
        <v>132</v>
      </c>
      <c r="B37" s="113"/>
      <c r="C37" s="104"/>
      <c r="D37" s="104"/>
      <c r="E37" s="114"/>
      <c r="F37" s="104"/>
      <c r="G37" s="104"/>
      <c r="H37" s="104"/>
    </row>
    <row r="38" spans="1:8" ht="18.75" customHeight="1" x14ac:dyDescent="0.2">
      <c r="A38" s="68" t="s">
        <v>134</v>
      </c>
      <c r="B38" s="113"/>
      <c r="C38" s="104"/>
      <c r="D38" s="104"/>
      <c r="E38" s="114"/>
      <c r="F38" s="104"/>
      <c r="G38" s="104"/>
      <c r="H38" s="104"/>
    </row>
    <row r="39" spans="1:8" ht="18.75" customHeight="1" x14ac:dyDescent="0.2">
      <c r="A39" s="68" t="s">
        <v>137</v>
      </c>
      <c r="B39" s="113"/>
      <c r="C39" s="104"/>
      <c r="D39" s="104"/>
      <c r="E39" s="114"/>
      <c r="F39" s="104"/>
      <c r="G39" s="104"/>
      <c r="H39" s="104"/>
    </row>
    <row r="40" spans="1:8" ht="18.75" customHeight="1" x14ac:dyDescent="0.2">
      <c r="A40" s="68" t="s">
        <v>144</v>
      </c>
      <c r="B40" s="113"/>
      <c r="C40" s="104"/>
      <c r="D40" s="104"/>
      <c r="E40" s="114"/>
      <c r="F40" s="104"/>
      <c r="G40" s="104"/>
      <c r="H40" s="104"/>
    </row>
    <row r="41" spans="1:8" ht="18.75" customHeight="1" x14ac:dyDescent="0.2">
      <c r="A41" s="68" t="s">
        <v>154</v>
      </c>
      <c r="B41" s="113"/>
      <c r="C41" s="104"/>
      <c r="D41" s="104"/>
      <c r="E41" s="114"/>
      <c r="F41" s="104"/>
      <c r="G41" s="104"/>
      <c r="H41" s="104"/>
    </row>
    <row r="42" spans="1:8" ht="18.75" customHeight="1" x14ac:dyDescent="0.2">
      <c r="A42" s="68" t="s">
        <v>159</v>
      </c>
      <c r="B42" s="113"/>
      <c r="C42" s="104"/>
      <c r="D42" s="104"/>
      <c r="E42" s="114"/>
      <c r="F42" s="104"/>
      <c r="G42" s="104"/>
      <c r="H42" s="104"/>
    </row>
    <row r="43" spans="1:8" ht="18.75" customHeight="1" x14ac:dyDescent="0.2">
      <c r="A43" s="68" t="s">
        <v>161</v>
      </c>
      <c r="B43" s="113"/>
      <c r="C43" s="104"/>
      <c r="D43" s="104"/>
      <c r="E43" s="114"/>
      <c r="F43" s="104"/>
      <c r="G43" s="104"/>
      <c r="H43" s="104"/>
    </row>
    <row r="44" spans="1:8" ht="18.75" customHeight="1" x14ac:dyDescent="0.2">
      <c r="A44" s="68" t="s">
        <v>162</v>
      </c>
      <c r="B44" s="113"/>
      <c r="C44" s="104"/>
      <c r="D44" s="104"/>
      <c r="E44" s="114"/>
      <c r="F44" s="104"/>
      <c r="G44" s="104"/>
      <c r="H44" s="104"/>
    </row>
    <row r="45" spans="1:8" ht="18.75" customHeight="1" x14ac:dyDescent="0.2">
      <c r="A45" s="68" t="s">
        <v>163</v>
      </c>
      <c r="B45" s="113"/>
      <c r="C45" s="104"/>
      <c r="D45" s="104"/>
      <c r="E45" s="114"/>
      <c r="F45" s="104"/>
      <c r="G45" s="104"/>
      <c r="H45" s="104"/>
    </row>
    <row r="46" spans="1:8" ht="18.75" customHeight="1" x14ac:dyDescent="0.2">
      <c r="A46" s="68" t="s">
        <v>164</v>
      </c>
      <c r="B46" s="113"/>
      <c r="C46" s="104"/>
      <c r="D46" s="104"/>
      <c r="E46" s="114"/>
      <c r="F46" s="104"/>
      <c r="G46" s="104"/>
      <c r="H46" s="104"/>
    </row>
    <row r="47" spans="1:8" ht="18.75" customHeight="1" x14ac:dyDescent="0.2">
      <c r="A47" s="68" t="s">
        <v>165</v>
      </c>
      <c r="B47" s="113"/>
      <c r="C47" s="104"/>
      <c r="D47" s="104"/>
      <c r="E47" s="114"/>
      <c r="F47" s="104"/>
      <c r="G47" s="104"/>
      <c r="H47" s="104"/>
    </row>
    <row r="48" spans="1:8" ht="18.75" customHeight="1" x14ac:dyDescent="0.2">
      <c r="A48" s="68" t="s">
        <v>166</v>
      </c>
      <c r="B48" s="113"/>
      <c r="C48" s="104"/>
      <c r="D48" s="104"/>
      <c r="E48" s="114"/>
      <c r="F48" s="104"/>
      <c r="G48" s="104"/>
      <c r="H48" s="104"/>
    </row>
    <row r="49" spans="1:8" ht="18.75" customHeight="1" x14ac:dyDescent="0.2">
      <c r="A49" s="68" t="s">
        <v>167</v>
      </c>
      <c r="B49" s="113"/>
      <c r="C49" s="104"/>
      <c r="D49" s="104"/>
      <c r="E49" s="114"/>
      <c r="F49" s="104"/>
      <c r="G49" s="104"/>
      <c r="H49" s="104"/>
    </row>
    <row r="50" spans="1:8" ht="18.75" customHeight="1" x14ac:dyDescent="0.2">
      <c r="A50" s="68" t="s">
        <v>168</v>
      </c>
      <c r="B50" s="113"/>
      <c r="C50" s="104"/>
      <c r="D50" s="104"/>
      <c r="E50" s="114"/>
      <c r="F50" s="104"/>
      <c r="G50" s="104"/>
      <c r="H50" s="104"/>
    </row>
    <row r="51" spans="1:8" ht="18.75" customHeight="1" x14ac:dyDescent="0.2">
      <c r="A51" s="68" t="s">
        <v>169</v>
      </c>
      <c r="B51" s="113"/>
      <c r="C51" s="104"/>
      <c r="D51" s="104"/>
      <c r="E51" s="114"/>
      <c r="F51" s="104"/>
      <c r="G51" s="104"/>
      <c r="H51" s="104"/>
    </row>
    <row r="52" spans="1:8" ht="18.75" customHeight="1" x14ac:dyDescent="0.2">
      <c r="A52" s="68" t="s">
        <v>170</v>
      </c>
      <c r="B52" s="113"/>
      <c r="C52" s="104"/>
      <c r="D52" s="104"/>
      <c r="E52" s="114"/>
      <c r="F52" s="104"/>
      <c r="G52" s="104"/>
      <c r="H52" s="104"/>
    </row>
    <row r="53" spans="1:8" ht="18.75" customHeight="1" x14ac:dyDescent="0.2">
      <c r="A53" s="68" t="s">
        <v>171</v>
      </c>
      <c r="B53" s="115"/>
      <c r="C53" s="104"/>
      <c r="D53" s="104"/>
      <c r="E53" s="114"/>
      <c r="F53" s="104"/>
      <c r="G53" s="104"/>
      <c r="H53" s="104"/>
    </row>
    <row r="54" spans="1:8" ht="18.75" customHeight="1" x14ac:dyDescent="0.2">
      <c r="A54" s="68" t="s">
        <v>172</v>
      </c>
      <c r="B54" s="115"/>
      <c r="C54" s="104"/>
      <c r="D54" s="104"/>
      <c r="E54" s="114"/>
      <c r="F54" s="104"/>
      <c r="G54" s="104"/>
      <c r="H54" s="104"/>
    </row>
    <row r="55" spans="1:8" ht="18.75" customHeight="1" x14ac:dyDescent="0.2">
      <c r="A55" s="68" t="s">
        <v>173</v>
      </c>
      <c r="B55" s="115"/>
      <c r="C55" s="104"/>
      <c r="D55" s="104"/>
      <c r="E55" s="114"/>
      <c r="F55" s="104"/>
      <c r="G55" s="104"/>
      <c r="H55" s="104"/>
    </row>
    <row r="56" spans="1:8" ht="18.75" customHeight="1" x14ac:dyDescent="0.2">
      <c r="A56" s="116" t="s">
        <v>174</v>
      </c>
      <c r="B56" s="115"/>
      <c r="C56" s="104"/>
      <c r="D56" s="104"/>
      <c r="E56" s="114"/>
      <c r="F56" s="104"/>
      <c r="G56" s="104"/>
      <c r="H56" s="104"/>
    </row>
    <row r="57" spans="1:8" ht="18.75" customHeight="1" x14ac:dyDescent="0.2">
      <c r="A57" s="116" t="s">
        <v>175</v>
      </c>
      <c r="B57" s="115"/>
      <c r="C57" s="104"/>
      <c r="D57" s="104"/>
      <c r="E57" s="114"/>
      <c r="F57" s="104"/>
      <c r="G57" s="104"/>
      <c r="H57" s="104"/>
    </row>
    <row r="58" spans="1:8" ht="18.75" customHeight="1" x14ac:dyDescent="0.2">
      <c r="A58" s="68" t="s">
        <v>176</v>
      </c>
      <c r="B58" s="115"/>
      <c r="C58" s="104"/>
      <c r="D58" s="104"/>
      <c r="E58" s="114"/>
      <c r="F58" s="104"/>
      <c r="G58" s="104"/>
      <c r="H58" s="104"/>
    </row>
    <row r="59" spans="1:8" ht="18.75" customHeight="1" x14ac:dyDescent="0.2">
      <c r="A59" s="117" t="s">
        <v>178</v>
      </c>
      <c r="B59" s="115"/>
      <c r="C59" s="104"/>
      <c r="D59" s="104"/>
      <c r="E59" s="114"/>
      <c r="F59" s="104"/>
      <c r="G59" s="104"/>
      <c r="H59" s="104"/>
    </row>
    <row r="60" spans="1:8" ht="18.75" customHeight="1" x14ac:dyDescent="0.2">
      <c r="A60" s="117" t="s">
        <v>179</v>
      </c>
      <c r="B60" s="115"/>
      <c r="C60" s="104"/>
      <c r="D60" s="104"/>
      <c r="E60" s="114"/>
      <c r="F60" s="104"/>
      <c r="G60" s="104"/>
      <c r="H60" s="104"/>
    </row>
    <row r="61" spans="1:8" ht="18.75" customHeight="1" x14ac:dyDescent="0.2">
      <c r="A61" s="117"/>
      <c r="B61" s="115"/>
      <c r="C61" s="104"/>
      <c r="D61" s="104"/>
      <c r="E61" s="114"/>
      <c r="F61" s="104"/>
      <c r="G61" s="104"/>
      <c r="H61" s="104"/>
    </row>
    <row r="62" spans="1:8" ht="18.75" customHeight="1" x14ac:dyDescent="0.2">
      <c r="A62" s="117"/>
      <c r="B62" s="115"/>
      <c r="C62" s="104"/>
      <c r="D62" s="104"/>
      <c r="E62" s="114"/>
      <c r="F62" s="104"/>
      <c r="G62" s="104"/>
      <c r="H62" s="104"/>
    </row>
    <row r="63" spans="1:8" ht="18.75" customHeight="1" x14ac:dyDescent="0.2">
      <c r="A63" s="117"/>
      <c r="B63" s="115"/>
      <c r="C63" s="104"/>
      <c r="D63" s="104"/>
      <c r="E63" s="114"/>
      <c r="F63" s="104"/>
      <c r="G63" s="104"/>
      <c r="H63" s="104"/>
    </row>
    <row r="64" spans="1:8" ht="18.75" customHeight="1" x14ac:dyDescent="0.2">
      <c r="A64" s="117"/>
      <c r="B64" s="115"/>
      <c r="C64" s="104"/>
      <c r="D64" s="104"/>
      <c r="E64" s="114"/>
      <c r="F64" s="104"/>
      <c r="G64" s="104"/>
      <c r="H64" s="104"/>
    </row>
    <row r="65" spans="1:8" ht="18.75" customHeight="1" x14ac:dyDescent="0.2">
      <c r="A65" s="117"/>
      <c r="B65" s="115"/>
      <c r="C65" s="104"/>
      <c r="D65" s="104"/>
      <c r="E65" s="114"/>
      <c r="F65" s="104"/>
      <c r="G65" s="104"/>
      <c r="H65" s="104"/>
    </row>
    <row r="66" spans="1:8" ht="18.75" customHeight="1" x14ac:dyDescent="0.2">
      <c r="A66" s="117"/>
      <c r="B66" s="115"/>
      <c r="C66" s="104"/>
      <c r="D66" s="104"/>
      <c r="E66" s="114"/>
      <c r="F66" s="104"/>
      <c r="G66" s="104"/>
      <c r="H66" s="104"/>
    </row>
    <row r="67" spans="1:8" ht="18.75" customHeight="1" x14ac:dyDescent="0.2">
      <c r="A67" s="117"/>
      <c r="B67" s="115"/>
      <c r="C67" s="104"/>
      <c r="D67" s="104"/>
      <c r="E67" s="114"/>
      <c r="F67" s="104"/>
      <c r="G67" s="104"/>
      <c r="H67" s="104"/>
    </row>
    <row r="68" spans="1:8" ht="18.75" customHeight="1" x14ac:dyDescent="0.2">
      <c r="A68" s="117"/>
      <c r="B68" s="115"/>
      <c r="C68" s="104"/>
      <c r="D68" s="104"/>
      <c r="E68" s="114"/>
      <c r="F68" s="104"/>
      <c r="G68" s="104"/>
      <c r="H68" s="104"/>
    </row>
    <row r="69" spans="1:8" ht="18.75" customHeight="1" x14ac:dyDescent="0.2">
      <c r="A69" s="117"/>
      <c r="B69" s="115"/>
      <c r="C69" s="104"/>
      <c r="D69" s="104"/>
      <c r="E69" s="114"/>
      <c r="F69" s="104"/>
      <c r="G69" s="104"/>
      <c r="H69" s="104"/>
    </row>
    <row r="70" spans="1:8" ht="18.75" customHeight="1" x14ac:dyDescent="0.2">
      <c r="A70" s="118"/>
      <c r="B70" s="115"/>
      <c r="C70" s="104"/>
      <c r="D70" s="104"/>
      <c r="E70" s="114"/>
      <c r="F70" s="104"/>
      <c r="G70" s="104"/>
      <c r="H70" s="104"/>
    </row>
    <row r="71" spans="1:8" ht="18.75" customHeight="1" x14ac:dyDescent="0.2">
      <c r="A71" s="119"/>
      <c r="B71" s="115"/>
      <c r="C71" s="104"/>
      <c r="D71" s="104"/>
      <c r="E71" s="114"/>
      <c r="F71" s="104"/>
      <c r="G71" s="104"/>
      <c r="H71" s="104"/>
    </row>
    <row r="72" spans="1:8" ht="18.75" customHeight="1" x14ac:dyDescent="0.2">
      <c r="A72" s="118"/>
      <c r="B72" s="115"/>
      <c r="C72" s="104"/>
      <c r="D72" s="104"/>
      <c r="E72" s="114"/>
      <c r="F72" s="104"/>
      <c r="G72" s="104"/>
      <c r="H72" s="104"/>
    </row>
    <row r="73" spans="1:8" ht="18.75" customHeight="1" x14ac:dyDescent="0.2">
      <c r="A73" s="120"/>
      <c r="B73" s="115"/>
      <c r="C73" s="104"/>
      <c r="D73" s="104"/>
      <c r="E73" s="114"/>
      <c r="F73" s="104"/>
      <c r="G73" s="104"/>
      <c r="H73" s="104"/>
    </row>
    <row r="74" spans="1:8" ht="18.75" customHeight="1" x14ac:dyDescent="0.2">
      <c r="A74" s="120"/>
      <c r="B74" s="115"/>
      <c r="C74" s="104"/>
      <c r="D74" s="104"/>
      <c r="E74" s="114"/>
      <c r="F74" s="104"/>
      <c r="G74" s="104"/>
      <c r="H74" s="104"/>
    </row>
    <row r="75" spans="1:8" ht="18.75" customHeight="1" x14ac:dyDescent="0.2">
      <c r="A75" s="120"/>
      <c r="B75" s="115"/>
      <c r="C75" s="104"/>
      <c r="D75" s="104"/>
      <c r="E75" s="114"/>
      <c r="F75" s="104"/>
      <c r="G75" s="104"/>
      <c r="H75" s="104"/>
    </row>
    <row r="76" spans="1:8" ht="18.75" customHeight="1" x14ac:dyDescent="0.2">
      <c r="A76" s="106"/>
      <c r="B76" s="106"/>
      <c r="C76" s="104"/>
      <c r="D76" s="104"/>
      <c r="E76" s="114"/>
      <c r="F76" s="104"/>
      <c r="G76" s="104"/>
      <c r="H76" s="104"/>
    </row>
    <row r="77" spans="1:8" ht="18.75" customHeight="1" x14ac:dyDescent="0.2">
      <c r="A77" s="2"/>
      <c r="B77" s="2"/>
      <c r="C77" s="2"/>
      <c r="D77" s="2"/>
      <c r="E77" s="17"/>
      <c r="F77" s="17"/>
      <c r="G77" s="2"/>
      <c r="H77" s="2"/>
    </row>
    <row r="78" spans="1:8" ht="18.75" customHeight="1" x14ac:dyDescent="0.2">
      <c r="A78" s="2" t="s">
        <v>180</v>
      </c>
      <c r="B78" s="2"/>
      <c r="C78" s="2"/>
      <c r="D78" s="2" t="s">
        <v>181</v>
      </c>
      <c r="E78" s="17"/>
      <c r="F78" s="17"/>
      <c r="G78" s="2"/>
      <c r="H78" s="2"/>
    </row>
  </sheetData>
  <mergeCells count="11">
    <mergeCell ref="A1:F1"/>
    <mergeCell ref="G1:H1"/>
    <mergeCell ref="E6:F6"/>
    <mergeCell ref="C6:D6"/>
    <mergeCell ref="E7:F7"/>
    <mergeCell ref="C7:D7"/>
    <mergeCell ref="C2:H2"/>
    <mergeCell ref="C3:F3"/>
    <mergeCell ref="G6:H6"/>
    <mergeCell ref="F5:H5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4" topLeftCell="A5" activePane="bottomLeft" state="frozen"/>
      <selection pane="bottomLeft" activeCell="B6" sqref="B6"/>
    </sheetView>
  </sheetViews>
  <sheetFormatPr defaultColWidth="17.28515625" defaultRowHeight="15.75" customHeight="1" x14ac:dyDescent="0.2"/>
  <cols>
    <col min="1" max="1" width="7.5703125" customWidth="1"/>
    <col min="2" max="2" width="22.7109375" customWidth="1"/>
    <col min="3" max="16" width="5.42578125" customWidth="1"/>
    <col min="17" max="17" width="14.28515625" customWidth="1"/>
  </cols>
  <sheetData>
    <row r="1" spans="1:17" ht="30" customHeight="1" x14ac:dyDescent="0.2">
      <c r="A1" s="234" t="s">
        <v>184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22"/>
    </row>
    <row r="2" spans="1:17" ht="19.5" customHeight="1" x14ac:dyDescent="0.2">
      <c r="A2" s="239" t="s">
        <v>139</v>
      </c>
      <c r="B2" s="222"/>
      <c r="C2" s="237" t="s">
        <v>185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2"/>
    </row>
    <row r="3" spans="1:17" ht="19.5" customHeight="1" x14ac:dyDescent="0.2">
      <c r="A3" s="239" t="s">
        <v>141</v>
      </c>
      <c r="B3" s="222"/>
      <c r="C3" s="237" t="s">
        <v>4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2"/>
    </row>
    <row r="4" spans="1:17" ht="16.5" customHeight="1" x14ac:dyDescent="0.2">
      <c r="A4" s="241" t="s">
        <v>187</v>
      </c>
      <c r="B4" s="222"/>
      <c r="C4" s="121" t="s">
        <v>188</v>
      </c>
      <c r="D4" s="121" t="s">
        <v>189</v>
      </c>
      <c r="E4" s="121" t="s">
        <v>190</v>
      </c>
      <c r="F4" s="121" t="s">
        <v>191</v>
      </c>
      <c r="G4" s="122" t="s">
        <v>192</v>
      </c>
      <c r="H4" s="122" t="s">
        <v>194</v>
      </c>
      <c r="I4" s="121" t="s">
        <v>195</v>
      </c>
      <c r="J4" s="121" t="s">
        <v>196</v>
      </c>
      <c r="K4" s="121" t="s">
        <v>197</v>
      </c>
      <c r="L4" s="121" t="s">
        <v>198</v>
      </c>
      <c r="M4" s="121" t="s">
        <v>199</v>
      </c>
      <c r="N4" s="121" t="s">
        <v>200</v>
      </c>
      <c r="O4" s="121" t="s">
        <v>201</v>
      </c>
      <c r="P4" s="108" t="s">
        <v>202</v>
      </c>
      <c r="Q4" s="123" t="s">
        <v>203</v>
      </c>
    </row>
    <row r="5" spans="1:17" ht="16.5" hidden="1" customHeight="1" x14ac:dyDescent="0.2">
      <c r="A5" s="124"/>
      <c r="B5" s="125"/>
      <c r="C5" s="242" t="s">
        <v>204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22"/>
    </row>
    <row r="6" spans="1:17" ht="16.5" customHeight="1" x14ac:dyDescent="0.2">
      <c r="A6" s="66" t="s">
        <v>65</v>
      </c>
      <c r="B6" s="68" t="s">
        <v>66</v>
      </c>
      <c r="C6" s="126" t="s">
        <v>206</v>
      </c>
      <c r="D6" s="126" t="s">
        <v>206</v>
      </c>
      <c r="E6" s="126" t="s">
        <v>206</v>
      </c>
      <c r="F6" s="126" t="s">
        <v>206</v>
      </c>
      <c r="G6" s="126" t="s">
        <v>206</v>
      </c>
      <c r="H6" s="126"/>
      <c r="I6" s="126"/>
      <c r="J6" s="126"/>
      <c r="K6" s="126"/>
      <c r="L6" s="126"/>
      <c r="M6" s="126"/>
      <c r="N6" s="126"/>
      <c r="O6" s="126"/>
      <c r="P6" s="127">
        <f t="shared" ref="P6:P65" si="0">COUNTIF(C6:O6,"X")</f>
        <v>5</v>
      </c>
      <c r="Q6" s="128" t="str">
        <f t="shared" ref="Q6:Q65" si="1">IF(P6&lt;7,"негативно",P6*0.769)</f>
        <v>негативно</v>
      </c>
    </row>
    <row r="7" spans="1:17" ht="16.5" customHeight="1" x14ac:dyDescent="0.2">
      <c r="A7" s="66" t="s">
        <v>68</v>
      </c>
      <c r="B7" s="68" t="s">
        <v>69</v>
      </c>
      <c r="C7" s="126" t="s">
        <v>206</v>
      </c>
      <c r="D7" s="126" t="s">
        <v>206</v>
      </c>
      <c r="E7" s="126" t="s">
        <v>206</v>
      </c>
      <c r="F7" s="126" t="s">
        <v>206</v>
      </c>
      <c r="G7" s="126" t="s">
        <v>208</v>
      </c>
      <c r="H7" s="126"/>
      <c r="I7" s="126"/>
      <c r="J7" s="126"/>
      <c r="K7" s="126"/>
      <c r="L7" s="126"/>
      <c r="M7" s="126"/>
      <c r="N7" s="126"/>
      <c r="O7" s="126"/>
      <c r="P7" s="127">
        <f t="shared" si="0"/>
        <v>4</v>
      </c>
      <c r="Q7" s="128" t="str">
        <f t="shared" si="1"/>
        <v>негативно</v>
      </c>
    </row>
    <row r="8" spans="1:17" ht="16.5" customHeight="1" x14ac:dyDescent="0.2">
      <c r="A8" s="66" t="s">
        <v>70</v>
      </c>
      <c r="B8" s="68" t="s">
        <v>71</v>
      </c>
      <c r="C8" s="126" t="s">
        <v>206</v>
      </c>
      <c r="D8" s="126" t="s">
        <v>206</v>
      </c>
      <c r="E8" s="126" t="s">
        <v>206</v>
      </c>
      <c r="F8" s="126" t="s">
        <v>206</v>
      </c>
      <c r="G8" s="126" t="s">
        <v>208</v>
      </c>
      <c r="H8" s="126"/>
      <c r="I8" s="126"/>
      <c r="J8" s="126"/>
      <c r="K8" s="126"/>
      <c r="L8" s="126"/>
      <c r="M8" s="126"/>
      <c r="N8" s="126"/>
      <c r="O8" s="126"/>
      <c r="P8" s="127">
        <f t="shared" si="0"/>
        <v>4</v>
      </c>
      <c r="Q8" s="128" t="str">
        <f t="shared" si="1"/>
        <v>негативно</v>
      </c>
    </row>
    <row r="9" spans="1:17" ht="16.5" customHeight="1" x14ac:dyDescent="0.2">
      <c r="A9" s="66" t="s">
        <v>72</v>
      </c>
      <c r="B9" s="68" t="s">
        <v>73</v>
      </c>
      <c r="C9" s="126" t="s">
        <v>206</v>
      </c>
      <c r="D9" s="126" t="s">
        <v>206</v>
      </c>
      <c r="E9" s="126" t="s">
        <v>206</v>
      </c>
      <c r="F9" s="126" t="s">
        <v>206</v>
      </c>
      <c r="G9" s="126" t="s">
        <v>206</v>
      </c>
      <c r="H9" s="126"/>
      <c r="I9" s="126"/>
      <c r="J9" s="126"/>
      <c r="K9" s="126"/>
      <c r="L9" s="126"/>
      <c r="M9" s="126"/>
      <c r="N9" s="126"/>
      <c r="O9" s="126"/>
      <c r="P9" s="127">
        <f t="shared" si="0"/>
        <v>5</v>
      </c>
      <c r="Q9" s="128" t="str">
        <f t="shared" si="1"/>
        <v>негативно</v>
      </c>
    </row>
    <row r="10" spans="1:17" ht="16.5" customHeight="1" x14ac:dyDescent="0.2">
      <c r="A10" s="66" t="s">
        <v>74</v>
      </c>
      <c r="B10" s="68" t="s">
        <v>75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>
        <f t="shared" si="0"/>
        <v>0</v>
      </c>
      <c r="Q10" s="128" t="str">
        <f t="shared" si="1"/>
        <v>негативно</v>
      </c>
    </row>
    <row r="11" spans="1:17" ht="16.5" customHeight="1" x14ac:dyDescent="0.2">
      <c r="A11" s="66" t="s">
        <v>76</v>
      </c>
      <c r="B11" s="68" t="s">
        <v>77</v>
      </c>
      <c r="C11" s="126" t="s">
        <v>206</v>
      </c>
      <c r="D11" s="126" t="s">
        <v>206</v>
      </c>
      <c r="E11" s="126" t="s">
        <v>206</v>
      </c>
      <c r="F11" s="126" t="s">
        <v>206</v>
      </c>
      <c r="G11" s="31" t="s">
        <v>208</v>
      </c>
      <c r="H11" s="126" t="s">
        <v>206</v>
      </c>
      <c r="I11" s="126"/>
      <c r="J11" s="126"/>
      <c r="K11" s="126"/>
      <c r="L11" s="126"/>
      <c r="M11" s="126"/>
      <c r="N11" s="126"/>
      <c r="O11" s="126"/>
      <c r="P11" s="127">
        <f t="shared" si="0"/>
        <v>5</v>
      </c>
      <c r="Q11" s="128" t="str">
        <f t="shared" si="1"/>
        <v>негативно</v>
      </c>
    </row>
    <row r="12" spans="1:17" ht="16.5" customHeight="1" x14ac:dyDescent="0.2">
      <c r="A12" s="66" t="s">
        <v>78</v>
      </c>
      <c r="B12" s="68" t="s">
        <v>79</v>
      </c>
      <c r="C12" s="126" t="s">
        <v>206</v>
      </c>
      <c r="D12" s="126" t="s">
        <v>206</v>
      </c>
      <c r="E12" s="126" t="s">
        <v>206</v>
      </c>
      <c r="F12" s="126" t="s">
        <v>206</v>
      </c>
      <c r="G12" s="31" t="s">
        <v>208</v>
      </c>
      <c r="H12" s="31"/>
      <c r="I12" s="31"/>
      <c r="J12" s="31"/>
      <c r="K12" s="31"/>
      <c r="L12" s="31"/>
      <c r="M12" s="31"/>
      <c r="N12" s="31"/>
      <c r="O12" s="126"/>
      <c r="P12" s="127">
        <f t="shared" si="0"/>
        <v>4</v>
      </c>
      <c r="Q12" s="128" t="str">
        <f t="shared" si="1"/>
        <v>негативно</v>
      </c>
    </row>
    <row r="13" spans="1:17" ht="16.5" customHeight="1" x14ac:dyDescent="0.2">
      <c r="A13" s="66" t="s">
        <v>80</v>
      </c>
      <c r="B13" s="68" t="s">
        <v>81</v>
      </c>
      <c r="C13" s="126" t="s">
        <v>206</v>
      </c>
      <c r="D13" s="126" t="s">
        <v>206</v>
      </c>
      <c r="E13" s="126" t="s">
        <v>206</v>
      </c>
      <c r="F13" s="126" t="s">
        <v>206</v>
      </c>
      <c r="G13" s="31"/>
      <c r="H13" s="31"/>
      <c r="I13" s="31"/>
      <c r="J13" s="31"/>
      <c r="K13" s="31"/>
      <c r="L13" s="31"/>
      <c r="M13" s="31"/>
      <c r="N13" s="31"/>
      <c r="O13" s="126"/>
      <c r="P13" s="127">
        <f t="shared" si="0"/>
        <v>4</v>
      </c>
      <c r="Q13" s="128" t="str">
        <f t="shared" si="1"/>
        <v>негативно</v>
      </c>
    </row>
    <row r="14" spans="1:17" ht="16.5" customHeight="1" x14ac:dyDescent="0.2">
      <c r="A14" s="66" t="s">
        <v>83</v>
      </c>
      <c r="B14" s="68" t="s">
        <v>84</v>
      </c>
      <c r="C14" s="126" t="s">
        <v>206</v>
      </c>
      <c r="D14" s="126" t="s">
        <v>206</v>
      </c>
      <c r="E14" s="126" t="s">
        <v>206</v>
      </c>
      <c r="F14" s="126" t="s">
        <v>206</v>
      </c>
      <c r="G14" s="31" t="s">
        <v>208</v>
      </c>
      <c r="H14" s="31"/>
      <c r="I14" s="31"/>
      <c r="J14" s="31"/>
      <c r="K14" s="31"/>
      <c r="L14" s="31"/>
      <c r="M14" s="31"/>
      <c r="N14" s="31"/>
      <c r="O14" s="126"/>
      <c r="P14" s="127">
        <f t="shared" si="0"/>
        <v>4</v>
      </c>
      <c r="Q14" s="128" t="str">
        <f t="shared" si="1"/>
        <v>негативно</v>
      </c>
    </row>
    <row r="15" spans="1:17" ht="16.5" customHeight="1" x14ac:dyDescent="0.2">
      <c r="A15" s="66" t="s">
        <v>86</v>
      </c>
      <c r="B15" s="68" t="s">
        <v>87</v>
      </c>
      <c r="C15" s="126" t="s">
        <v>206</v>
      </c>
      <c r="D15" s="126" t="s">
        <v>206</v>
      </c>
      <c r="E15" s="126" t="s">
        <v>206</v>
      </c>
      <c r="F15" s="126" t="s">
        <v>206</v>
      </c>
      <c r="G15" s="31" t="s">
        <v>208</v>
      </c>
      <c r="H15" s="31"/>
      <c r="I15" s="31"/>
      <c r="J15" s="31"/>
      <c r="K15" s="31"/>
      <c r="L15" s="31"/>
      <c r="M15" s="31"/>
      <c r="N15" s="31"/>
      <c r="O15" s="126"/>
      <c r="P15" s="127">
        <f t="shared" si="0"/>
        <v>4</v>
      </c>
      <c r="Q15" s="128" t="str">
        <f t="shared" si="1"/>
        <v>негативно</v>
      </c>
    </row>
    <row r="16" spans="1:17" ht="16.5" customHeight="1" x14ac:dyDescent="0.2">
      <c r="A16" s="66" t="s">
        <v>89</v>
      </c>
      <c r="B16" s="68" t="s">
        <v>90</v>
      </c>
      <c r="C16" s="126"/>
      <c r="D16" s="12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26"/>
      <c r="P16" s="127">
        <f t="shared" si="0"/>
        <v>0</v>
      </c>
      <c r="Q16" s="128" t="str">
        <f t="shared" si="1"/>
        <v>негативно</v>
      </c>
    </row>
    <row r="17" spans="1:17" ht="16.5" customHeight="1" x14ac:dyDescent="0.2">
      <c r="A17" s="66" t="s">
        <v>91</v>
      </c>
      <c r="B17" s="68" t="s">
        <v>92</v>
      </c>
      <c r="C17" s="126" t="s">
        <v>206</v>
      </c>
      <c r="D17" s="126" t="s">
        <v>206</v>
      </c>
      <c r="E17" s="126" t="s">
        <v>206</v>
      </c>
      <c r="F17" s="126" t="s">
        <v>206</v>
      </c>
      <c r="G17" s="31" t="s">
        <v>208</v>
      </c>
      <c r="H17" s="126" t="s">
        <v>206</v>
      </c>
      <c r="I17" s="31"/>
      <c r="J17" s="31"/>
      <c r="K17" s="31"/>
      <c r="L17" s="31"/>
      <c r="M17" s="31"/>
      <c r="N17" s="31"/>
      <c r="O17" s="126"/>
      <c r="P17" s="127">
        <f t="shared" si="0"/>
        <v>5</v>
      </c>
      <c r="Q17" s="128" t="str">
        <f t="shared" si="1"/>
        <v>негативно</v>
      </c>
    </row>
    <row r="18" spans="1:17" ht="16.5" customHeight="1" x14ac:dyDescent="0.2">
      <c r="A18" s="66" t="s">
        <v>93</v>
      </c>
      <c r="B18" s="68" t="s">
        <v>94</v>
      </c>
      <c r="C18" s="126" t="s">
        <v>206</v>
      </c>
      <c r="D18" s="126" t="s">
        <v>206</v>
      </c>
      <c r="E18" s="126" t="s">
        <v>206</v>
      </c>
      <c r="F18" s="126" t="s">
        <v>206</v>
      </c>
      <c r="G18" s="126" t="s">
        <v>206</v>
      </c>
      <c r="H18" s="31"/>
      <c r="I18" s="31"/>
      <c r="J18" s="31"/>
      <c r="K18" s="31"/>
      <c r="L18" s="31"/>
      <c r="M18" s="31"/>
      <c r="N18" s="31"/>
      <c r="O18" s="126"/>
      <c r="P18" s="127">
        <f t="shared" si="0"/>
        <v>5</v>
      </c>
      <c r="Q18" s="128" t="str">
        <f t="shared" si="1"/>
        <v>негативно</v>
      </c>
    </row>
    <row r="19" spans="1:17" ht="16.5" customHeight="1" x14ac:dyDescent="0.2">
      <c r="A19" s="66" t="s">
        <v>95</v>
      </c>
      <c r="B19" s="68" t="s">
        <v>96</v>
      </c>
      <c r="C19" s="126" t="s">
        <v>206</v>
      </c>
      <c r="D19" s="126" t="s">
        <v>206</v>
      </c>
      <c r="E19" s="126" t="s">
        <v>206</v>
      </c>
      <c r="F19" s="126" t="s">
        <v>206</v>
      </c>
      <c r="G19" s="31"/>
      <c r="H19" s="31"/>
      <c r="I19" s="31"/>
      <c r="J19" s="31"/>
      <c r="K19" s="31"/>
      <c r="L19" s="31"/>
      <c r="M19" s="31"/>
      <c r="N19" s="31"/>
      <c r="O19" s="126"/>
      <c r="P19" s="127">
        <f t="shared" si="0"/>
        <v>4</v>
      </c>
      <c r="Q19" s="128" t="str">
        <f t="shared" si="1"/>
        <v>негативно</v>
      </c>
    </row>
    <row r="20" spans="1:17" ht="16.5" customHeight="1" x14ac:dyDescent="0.2">
      <c r="A20" s="66" t="s">
        <v>97</v>
      </c>
      <c r="B20" s="68" t="s">
        <v>98</v>
      </c>
      <c r="C20" s="126"/>
      <c r="D20" s="126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26"/>
      <c r="P20" s="127">
        <f t="shared" si="0"/>
        <v>0</v>
      </c>
      <c r="Q20" s="128" t="str">
        <f t="shared" si="1"/>
        <v>негативно</v>
      </c>
    </row>
    <row r="21" spans="1:17" ht="16.5" customHeight="1" x14ac:dyDescent="0.2">
      <c r="A21" s="66" t="s">
        <v>99</v>
      </c>
      <c r="B21" s="68" t="s">
        <v>100</v>
      </c>
      <c r="C21" s="126"/>
      <c r="D21" s="126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26"/>
      <c r="P21" s="127">
        <f t="shared" si="0"/>
        <v>0</v>
      </c>
      <c r="Q21" s="128" t="str">
        <f t="shared" si="1"/>
        <v>негативно</v>
      </c>
    </row>
    <row r="22" spans="1:17" ht="16.5" customHeight="1" x14ac:dyDescent="0.2">
      <c r="A22" s="66" t="s">
        <v>101</v>
      </c>
      <c r="B22" s="68" t="s">
        <v>102</v>
      </c>
      <c r="C22" s="126" t="s">
        <v>206</v>
      </c>
      <c r="D22" s="126" t="s">
        <v>206</v>
      </c>
      <c r="E22" s="126" t="s">
        <v>206</v>
      </c>
      <c r="F22" s="126" t="s">
        <v>206</v>
      </c>
      <c r="G22" s="31" t="s">
        <v>208</v>
      </c>
      <c r="H22" s="31"/>
      <c r="I22" s="31"/>
      <c r="J22" s="31"/>
      <c r="K22" s="31"/>
      <c r="L22" s="31"/>
      <c r="M22" s="31"/>
      <c r="N22" s="31"/>
      <c r="O22" s="126"/>
      <c r="P22" s="127">
        <f t="shared" si="0"/>
        <v>4</v>
      </c>
      <c r="Q22" s="128" t="str">
        <f t="shared" si="1"/>
        <v>негативно</v>
      </c>
    </row>
    <row r="23" spans="1:17" ht="16.5" customHeight="1" x14ac:dyDescent="0.2">
      <c r="A23" s="66" t="s">
        <v>103</v>
      </c>
      <c r="B23" s="68" t="s">
        <v>104</v>
      </c>
      <c r="C23" s="126" t="s">
        <v>206</v>
      </c>
      <c r="D23" s="126" t="s">
        <v>206</v>
      </c>
      <c r="E23" s="126" t="s">
        <v>206</v>
      </c>
      <c r="F23" s="126" t="s">
        <v>206</v>
      </c>
      <c r="G23" s="126" t="s">
        <v>206</v>
      </c>
      <c r="H23" s="31"/>
      <c r="I23" s="31"/>
      <c r="J23" s="31"/>
      <c r="K23" s="31"/>
      <c r="L23" s="31"/>
      <c r="M23" s="31"/>
      <c r="N23" s="31"/>
      <c r="O23" s="126"/>
      <c r="P23" s="127">
        <f t="shared" si="0"/>
        <v>5</v>
      </c>
      <c r="Q23" s="128" t="str">
        <f t="shared" si="1"/>
        <v>негативно</v>
      </c>
    </row>
    <row r="24" spans="1:17" ht="16.5" customHeight="1" x14ac:dyDescent="0.2">
      <c r="A24" s="66" t="s">
        <v>105</v>
      </c>
      <c r="B24" s="68" t="s">
        <v>106</v>
      </c>
      <c r="C24" s="126" t="s">
        <v>206</v>
      </c>
      <c r="D24" s="126" t="s">
        <v>206</v>
      </c>
      <c r="E24" s="126" t="s">
        <v>206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>
        <f t="shared" si="0"/>
        <v>3</v>
      </c>
      <c r="Q24" s="128" t="str">
        <f t="shared" si="1"/>
        <v>негативно</v>
      </c>
    </row>
    <row r="25" spans="1:17" ht="16.5" customHeight="1" x14ac:dyDescent="0.2">
      <c r="A25" s="66" t="s">
        <v>107</v>
      </c>
      <c r="B25" s="68" t="s">
        <v>108</v>
      </c>
      <c r="C25" s="126" t="s">
        <v>206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7">
        <f t="shared" si="0"/>
        <v>1</v>
      </c>
      <c r="Q25" s="128" t="str">
        <f t="shared" si="1"/>
        <v>негативно</v>
      </c>
    </row>
    <row r="26" spans="1:17" ht="16.5" customHeight="1" x14ac:dyDescent="0.2">
      <c r="A26" s="66" t="s">
        <v>109</v>
      </c>
      <c r="B26" s="68" t="s">
        <v>110</v>
      </c>
      <c r="C26" s="126" t="s">
        <v>206</v>
      </c>
      <c r="D26" s="126" t="s">
        <v>206</v>
      </c>
      <c r="E26" s="126"/>
      <c r="F26" s="126" t="s">
        <v>206</v>
      </c>
      <c r="G26" s="126" t="s">
        <v>208</v>
      </c>
      <c r="H26" s="126"/>
      <c r="I26" s="126"/>
      <c r="J26" s="126"/>
      <c r="K26" s="126"/>
      <c r="L26" s="126"/>
      <c r="M26" s="126"/>
      <c r="N26" s="126"/>
      <c r="O26" s="126"/>
      <c r="P26" s="127">
        <f t="shared" si="0"/>
        <v>3</v>
      </c>
      <c r="Q26" s="128" t="str">
        <f t="shared" si="1"/>
        <v>негативно</v>
      </c>
    </row>
    <row r="27" spans="1:17" ht="16.5" customHeight="1" x14ac:dyDescent="0.2">
      <c r="A27" s="66" t="s">
        <v>111</v>
      </c>
      <c r="B27" s="68" t="s">
        <v>112</v>
      </c>
      <c r="C27" s="126" t="s">
        <v>206</v>
      </c>
      <c r="D27" s="126" t="s">
        <v>206</v>
      </c>
      <c r="E27" s="126" t="s">
        <v>206</v>
      </c>
      <c r="F27" s="126"/>
      <c r="G27" s="126" t="s">
        <v>208</v>
      </c>
      <c r="H27" s="126"/>
      <c r="I27" s="126"/>
      <c r="J27" s="126"/>
      <c r="K27" s="126"/>
      <c r="L27" s="126"/>
      <c r="M27" s="126"/>
      <c r="N27" s="126"/>
      <c r="O27" s="126"/>
      <c r="P27" s="127">
        <f t="shared" si="0"/>
        <v>3</v>
      </c>
      <c r="Q27" s="128" t="str">
        <f t="shared" si="1"/>
        <v>негативно</v>
      </c>
    </row>
    <row r="28" spans="1:17" ht="16.5" customHeight="1" x14ac:dyDescent="0.2">
      <c r="A28" s="66" t="s">
        <v>116</v>
      </c>
      <c r="B28" s="68" t="s">
        <v>117</v>
      </c>
      <c r="C28" s="126" t="s">
        <v>206</v>
      </c>
      <c r="D28" s="126" t="s">
        <v>206</v>
      </c>
      <c r="E28" s="126"/>
      <c r="F28" s="126" t="s">
        <v>206</v>
      </c>
      <c r="G28" s="126" t="s">
        <v>208</v>
      </c>
      <c r="H28" s="126"/>
      <c r="I28" s="126"/>
      <c r="J28" s="126"/>
      <c r="K28" s="126"/>
      <c r="L28" s="126"/>
      <c r="M28" s="126"/>
      <c r="N28" s="126"/>
      <c r="O28" s="126"/>
      <c r="P28" s="127">
        <f t="shared" si="0"/>
        <v>3</v>
      </c>
      <c r="Q28" s="128" t="str">
        <f t="shared" si="1"/>
        <v>негативно</v>
      </c>
    </row>
    <row r="29" spans="1:17" ht="16.5" customHeight="1" x14ac:dyDescent="0.2">
      <c r="A29" s="66" t="s">
        <v>120</v>
      </c>
      <c r="B29" s="68" t="s">
        <v>121</v>
      </c>
      <c r="C29" s="126" t="s">
        <v>206</v>
      </c>
      <c r="D29" s="126" t="s">
        <v>206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7">
        <f t="shared" si="0"/>
        <v>2</v>
      </c>
      <c r="Q29" s="128" t="str">
        <f t="shared" si="1"/>
        <v>негативно</v>
      </c>
    </row>
    <row r="30" spans="1:17" ht="16.5" customHeight="1" x14ac:dyDescent="0.2">
      <c r="A30" s="66" t="s">
        <v>122</v>
      </c>
      <c r="B30" s="68" t="s">
        <v>123</v>
      </c>
      <c r="C30" s="126" t="s">
        <v>206</v>
      </c>
      <c r="D30" s="126"/>
      <c r="E30" s="126" t="s">
        <v>206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>
        <f t="shared" si="0"/>
        <v>2</v>
      </c>
      <c r="Q30" s="128" t="str">
        <f t="shared" si="1"/>
        <v>негативно</v>
      </c>
    </row>
    <row r="31" spans="1:17" ht="16.5" customHeight="1" x14ac:dyDescent="0.2">
      <c r="A31" s="66" t="s">
        <v>124</v>
      </c>
      <c r="B31" s="68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7">
        <f t="shared" si="0"/>
        <v>0</v>
      </c>
      <c r="Q31" s="128" t="str">
        <f t="shared" si="1"/>
        <v>негативно</v>
      </c>
    </row>
    <row r="32" spans="1:17" ht="16.5" customHeight="1" x14ac:dyDescent="0.2">
      <c r="A32" s="66" t="s">
        <v>127</v>
      </c>
      <c r="B32" s="68" t="s">
        <v>128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>
        <f t="shared" si="0"/>
        <v>0</v>
      </c>
      <c r="Q32" s="128" t="str">
        <f t="shared" si="1"/>
        <v>негативно</v>
      </c>
    </row>
    <row r="33" spans="1:17" ht="16.5" customHeight="1" x14ac:dyDescent="0.2">
      <c r="A33" s="66" t="s">
        <v>129</v>
      </c>
      <c r="B33" s="68" t="s">
        <v>130</v>
      </c>
      <c r="C33" s="126"/>
      <c r="D33" s="126"/>
      <c r="E33" s="126"/>
      <c r="F33" s="126"/>
      <c r="G33" s="31"/>
      <c r="H33" s="31"/>
      <c r="I33" s="126"/>
      <c r="J33" s="126"/>
      <c r="K33" s="126"/>
      <c r="L33" s="126"/>
      <c r="M33" s="126"/>
      <c r="N33" s="126"/>
      <c r="O33" s="126"/>
      <c r="P33" s="127">
        <f t="shared" si="0"/>
        <v>0</v>
      </c>
      <c r="Q33" s="128" t="str">
        <f t="shared" si="1"/>
        <v>негативно</v>
      </c>
    </row>
    <row r="34" spans="1:17" ht="16.5" customHeight="1" x14ac:dyDescent="0.2">
      <c r="A34" s="66" t="s">
        <v>131</v>
      </c>
      <c r="B34" s="68" t="s">
        <v>132</v>
      </c>
      <c r="C34" s="126" t="s">
        <v>206</v>
      </c>
      <c r="D34" s="126" t="s">
        <v>206</v>
      </c>
      <c r="E34" s="126" t="s">
        <v>206</v>
      </c>
      <c r="F34" s="126" t="s">
        <v>206</v>
      </c>
      <c r="G34" s="126" t="s">
        <v>206</v>
      </c>
      <c r="H34" s="31"/>
      <c r="I34" s="31"/>
      <c r="J34" s="31"/>
      <c r="K34" s="31"/>
      <c r="L34" s="31"/>
      <c r="M34" s="126"/>
      <c r="N34" s="126"/>
      <c r="O34" s="126"/>
      <c r="P34" s="127">
        <f t="shared" si="0"/>
        <v>5</v>
      </c>
      <c r="Q34" s="128" t="str">
        <f t="shared" si="1"/>
        <v>негативно</v>
      </c>
    </row>
    <row r="35" spans="1:17" ht="16.5" customHeight="1" x14ac:dyDescent="0.2">
      <c r="A35" s="66" t="s">
        <v>133</v>
      </c>
      <c r="B35" s="68" t="s">
        <v>134</v>
      </c>
      <c r="C35" s="126" t="s">
        <v>206</v>
      </c>
      <c r="D35" s="126" t="s">
        <v>206</v>
      </c>
      <c r="E35" s="126"/>
      <c r="F35" s="126"/>
      <c r="G35" s="31" t="s">
        <v>208</v>
      </c>
      <c r="H35" s="31"/>
      <c r="I35" s="31"/>
      <c r="J35" s="31"/>
      <c r="K35" s="31"/>
      <c r="L35" s="31"/>
      <c r="M35" s="126"/>
      <c r="N35" s="126"/>
      <c r="O35" s="126"/>
      <c r="P35" s="127">
        <f t="shared" si="0"/>
        <v>2</v>
      </c>
      <c r="Q35" s="128" t="str">
        <f t="shared" si="1"/>
        <v>негативно</v>
      </c>
    </row>
    <row r="36" spans="1:17" ht="16.5" customHeight="1" x14ac:dyDescent="0.2">
      <c r="A36" s="66" t="s">
        <v>136</v>
      </c>
      <c r="B36" s="68" t="s">
        <v>137</v>
      </c>
      <c r="C36" s="126"/>
      <c r="D36" s="126" t="s">
        <v>206</v>
      </c>
      <c r="E36" s="126" t="s">
        <v>206</v>
      </c>
      <c r="F36" s="126" t="s">
        <v>206</v>
      </c>
      <c r="G36" s="31" t="s">
        <v>208</v>
      </c>
      <c r="H36" s="31"/>
      <c r="I36" s="31"/>
      <c r="J36" s="31"/>
      <c r="K36" s="31"/>
      <c r="L36" s="31"/>
      <c r="M36" s="126"/>
      <c r="N36" s="126"/>
      <c r="O36" s="126"/>
      <c r="P36" s="127">
        <f t="shared" si="0"/>
        <v>3</v>
      </c>
      <c r="Q36" s="128" t="str">
        <f t="shared" si="1"/>
        <v>негативно</v>
      </c>
    </row>
    <row r="37" spans="1:17" ht="16.5" customHeight="1" x14ac:dyDescent="0.2">
      <c r="A37" s="66" t="s">
        <v>143</v>
      </c>
      <c r="B37" s="68" t="s">
        <v>144</v>
      </c>
      <c r="C37" s="126"/>
      <c r="D37" s="126"/>
      <c r="E37" s="126"/>
      <c r="F37" s="126"/>
      <c r="G37" s="31"/>
      <c r="H37" s="31"/>
      <c r="I37" s="31"/>
      <c r="J37" s="31"/>
      <c r="K37" s="31"/>
      <c r="L37" s="31"/>
      <c r="M37" s="126"/>
      <c r="N37" s="126"/>
      <c r="O37" s="126"/>
      <c r="P37" s="127">
        <f t="shared" si="0"/>
        <v>0</v>
      </c>
      <c r="Q37" s="128" t="str">
        <f t="shared" si="1"/>
        <v>негативно</v>
      </c>
    </row>
    <row r="38" spans="1:17" ht="16.5" customHeight="1" x14ac:dyDescent="0.2">
      <c r="A38" s="66" t="s">
        <v>153</v>
      </c>
      <c r="B38" s="68" t="s">
        <v>154</v>
      </c>
      <c r="C38" s="126" t="s">
        <v>206</v>
      </c>
      <c r="D38" s="126" t="s">
        <v>206</v>
      </c>
      <c r="E38" s="126" t="s">
        <v>206</v>
      </c>
      <c r="F38" s="126" t="s">
        <v>206</v>
      </c>
      <c r="G38" s="126" t="s">
        <v>206</v>
      </c>
      <c r="H38" s="31"/>
      <c r="I38" s="31"/>
      <c r="J38" s="31"/>
      <c r="K38" s="31"/>
      <c r="L38" s="31"/>
      <c r="M38" s="126"/>
      <c r="N38" s="126"/>
      <c r="O38" s="126"/>
      <c r="P38" s="127">
        <f t="shared" si="0"/>
        <v>5</v>
      </c>
      <c r="Q38" s="128" t="str">
        <f t="shared" si="1"/>
        <v>негативно</v>
      </c>
    </row>
    <row r="39" spans="1:17" ht="16.5" customHeight="1" x14ac:dyDescent="0.2">
      <c r="A39" s="66" t="s">
        <v>158</v>
      </c>
      <c r="B39" s="68" t="s">
        <v>159</v>
      </c>
      <c r="C39" s="126" t="s">
        <v>206</v>
      </c>
      <c r="D39" s="126" t="s">
        <v>206</v>
      </c>
      <c r="E39" s="126" t="s">
        <v>206</v>
      </c>
      <c r="F39" s="126" t="s">
        <v>206</v>
      </c>
      <c r="G39" s="31" t="s">
        <v>208</v>
      </c>
      <c r="H39" s="31"/>
      <c r="I39" s="31"/>
      <c r="J39" s="31"/>
      <c r="K39" s="31"/>
      <c r="L39" s="31"/>
      <c r="M39" s="126"/>
      <c r="N39" s="126"/>
      <c r="O39" s="126"/>
      <c r="P39" s="127">
        <f t="shared" si="0"/>
        <v>4</v>
      </c>
      <c r="Q39" s="128" t="str">
        <f t="shared" si="1"/>
        <v>негативно</v>
      </c>
    </row>
    <row r="40" spans="1:17" ht="16.5" customHeight="1" x14ac:dyDescent="0.2">
      <c r="A40" s="66" t="s">
        <v>160</v>
      </c>
      <c r="B40" s="68" t="s">
        <v>161</v>
      </c>
      <c r="C40" s="126" t="s">
        <v>206</v>
      </c>
      <c r="D40" s="126" t="s">
        <v>206</v>
      </c>
      <c r="E40" s="126" t="s">
        <v>206</v>
      </c>
      <c r="F40" s="126" t="s">
        <v>206</v>
      </c>
      <c r="G40" s="31" t="s">
        <v>208</v>
      </c>
      <c r="H40" s="31"/>
      <c r="I40" s="126"/>
      <c r="J40" s="126"/>
      <c r="K40" s="126"/>
      <c r="L40" s="126"/>
      <c r="M40" s="126"/>
      <c r="N40" s="126"/>
      <c r="O40" s="126"/>
      <c r="P40" s="127">
        <f t="shared" si="0"/>
        <v>4</v>
      </c>
      <c r="Q40" s="128" t="str">
        <f t="shared" si="1"/>
        <v>негативно</v>
      </c>
    </row>
    <row r="41" spans="1:17" ht="16.5" customHeight="1" x14ac:dyDescent="0.2">
      <c r="A41" s="66" t="s">
        <v>177</v>
      </c>
      <c r="B41" s="68" t="s">
        <v>162</v>
      </c>
      <c r="C41" s="126" t="s">
        <v>206</v>
      </c>
      <c r="D41" s="126" t="s">
        <v>206</v>
      </c>
      <c r="E41" s="126" t="s">
        <v>206</v>
      </c>
      <c r="F41" s="126"/>
      <c r="G41" s="31" t="s">
        <v>208</v>
      </c>
      <c r="H41" s="31"/>
      <c r="I41" s="126"/>
      <c r="J41" s="126"/>
      <c r="K41" s="126"/>
      <c r="L41" s="126"/>
      <c r="M41" s="126"/>
      <c r="N41" s="126"/>
      <c r="O41" s="126"/>
      <c r="P41" s="127">
        <f t="shared" si="0"/>
        <v>3</v>
      </c>
      <c r="Q41" s="128" t="str">
        <f t="shared" si="1"/>
        <v>негативно</v>
      </c>
    </row>
    <row r="42" spans="1:17" ht="16.5" customHeight="1" x14ac:dyDescent="0.2">
      <c r="A42" s="66" t="s">
        <v>182</v>
      </c>
      <c r="B42" s="68" t="s">
        <v>163</v>
      </c>
      <c r="C42" s="126" t="s">
        <v>206</v>
      </c>
      <c r="D42" s="126" t="s">
        <v>206</v>
      </c>
      <c r="E42" s="126" t="s">
        <v>206</v>
      </c>
      <c r="F42" s="126"/>
      <c r="G42" s="31" t="s">
        <v>208</v>
      </c>
      <c r="H42" s="31"/>
      <c r="I42" s="126"/>
      <c r="J42" s="126"/>
      <c r="K42" s="126"/>
      <c r="L42" s="126"/>
      <c r="M42" s="126"/>
      <c r="N42" s="126"/>
      <c r="O42" s="126"/>
      <c r="P42" s="127">
        <f t="shared" si="0"/>
        <v>3</v>
      </c>
      <c r="Q42" s="128" t="str">
        <f t="shared" si="1"/>
        <v>негативно</v>
      </c>
    </row>
    <row r="43" spans="1:17" ht="16.5" customHeight="1" x14ac:dyDescent="0.2">
      <c r="A43" s="66" t="s">
        <v>183</v>
      </c>
      <c r="B43" s="68" t="s">
        <v>164</v>
      </c>
      <c r="C43" s="126" t="s">
        <v>206</v>
      </c>
      <c r="D43" s="126" t="s">
        <v>206</v>
      </c>
      <c r="E43" s="126" t="s">
        <v>206</v>
      </c>
      <c r="F43" s="126"/>
      <c r="G43" s="31" t="s">
        <v>208</v>
      </c>
      <c r="H43" s="31"/>
      <c r="I43" s="126"/>
      <c r="J43" s="126"/>
      <c r="K43" s="126"/>
      <c r="L43" s="126"/>
      <c r="M43" s="126"/>
      <c r="N43" s="126"/>
      <c r="O43" s="126"/>
      <c r="P43" s="129">
        <f t="shared" si="0"/>
        <v>3</v>
      </c>
      <c r="Q43" s="128" t="str">
        <f t="shared" si="1"/>
        <v>негативно</v>
      </c>
    </row>
    <row r="44" spans="1:17" ht="16.5" customHeight="1" x14ac:dyDescent="0.2">
      <c r="A44" s="66" t="s">
        <v>186</v>
      </c>
      <c r="B44" s="68" t="s">
        <v>165</v>
      </c>
      <c r="C44" s="126"/>
      <c r="D44" s="126"/>
      <c r="E44" s="126"/>
      <c r="F44" s="126"/>
      <c r="G44" s="31"/>
      <c r="H44" s="31"/>
      <c r="I44" s="126"/>
      <c r="J44" s="126"/>
      <c r="K44" s="126"/>
      <c r="L44" s="126"/>
      <c r="M44" s="126"/>
      <c r="N44" s="126"/>
      <c r="O44" s="126"/>
      <c r="P44" s="130">
        <f t="shared" si="0"/>
        <v>0</v>
      </c>
      <c r="Q44" s="128" t="str">
        <f t="shared" si="1"/>
        <v>негативно</v>
      </c>
    </row>
    <row r="45" spans="1:17" ht="16.5" customHeight="1" x14ac:dyDescent="0.2">
      <c r="A45" s="66" t="s">
        <v>193</v>
      </c>
      <c r="B45" s="68" t="s">
        <v>166</v>
      </c>
      <c r="C45" s="126"/>
      <c r="D45" s="126"/>
      <c r="E45" s="126"/>
      <c r="F45" s="126"/>
      <c r="G45" s="31"/>
      <c r="H45" s="31"/>
      <c r="I45" s="126"/>
      <c r="J45" s="126"/>
      <c r="K45" s="126"/>
      <c r="L45" s="126"/>
      <c r="M45" s="126"/>
      <c r="N45" s="126"/>
      <c r="O45" s="126"/>
      <c r="P45" s="127">
        <f t="shared" si="0"/>
        <v>0</v>
      </c>
      <c r="Q45" s="128" t="str">
        <f t="shared" si="1"/>
        <v>негативно</v>
      </c>
    </row>
    <row r="46" spans="1:17" ht="16.5" customHeight="1" x14ac:dyDescent="0.2">
      <c r="A46" s="66" t="s">
        <v>205</v>
      </c>
      <c r="B46" s="68" t="s">
        <v>167</v>
      </c>
      <c r="C46" s="126" t="s">
        <v>206</v>
      </c>
      <c r="D46" s="126"/>
      <c r="E46" s="126" t="s">
        <v>206</v>
      </c>
      <c r="F46" s="126" t="s">
        <v>206</v>
      </c>
      <c r="G46" s="126" t="s">
        <v>206</v>
      </c>
      <c r="H46" s="31"/>
      <c r="I46" s="126"/>
      <c r="J46" s="126"/>
      <c r="K46" s="126"/>
      <c r="L46" s="126"/>
      <c r="M46" s="126"/>
      <c r="N46" s="126"/>
      <c r="O46" s="126"/>
      <c r="P46" s="127">
        <f t="shared" si="0"/>
        <v>4</v>
      </c>
      <c r="Q46" s="128" t="str">
        <f t="shared" si="1"/>
        <v>негативно</v>
      </c>
    </row>
    <row r="47" spans="1:17" ht="16.5" customHeight="1" x14ac:dyDescent="0.2">
      <c r="A47" s="66" t="s">
        <v>207</v>
      </c>
      <c r="B47" s="68" t="s">
        <v>168</v>
      </c>
      <c r="C47" s="126" t="s">
        <v>206</v>
      </c>
      <c r="D47" s="126"/>
      <c r="E47" s="126"/>
      <c r="F47" s="126"/>
      <c r="G47" s="31" t="s">
        <v>208</v>
      </c>
      <c r="H47" s="31"/>
      <c r="I47" s="126"/>
      <c r="J47" s="126"/>
      <c r="K47" s="126"/>
      <c r="L47" s="126"/>
      <c r="M47" s="126"/>
      <c r="N47" s="126"/>
      <c r="O47" s="126"/>
      <c r="P47" s="127">
        <f t="shared" si="0"/>
        <v>1</v>
      </c>
      <c r="Q47" s="128" t="str">
        <f t="shared" si="1"/>
        <v>негативно</v>
      </c>
    </row>
    <row r="48" spans="1:17" ht="16.5" customHeight="1" x14ac:dyDescent="0.2">
      <c r="A48" s="66" t="s">
        <v>209</v>
      </c>
      <c r="B48" s="68" t="s">
        <v>169</v>
      </c>
      <c r="C48" s="126" t="s">
        <v>206</v>
      </c>
      <c r="D48" s="126"/>
      <c r="E48" s="126"/>
      <c r="F48" s="126" t="s">
        <v>206</v>
      </c>
      <c r="G48" s="31" t="s">
        <v>208</v>
      </c>
      <c r="H48" s="31"/>
      <c r="I48" s="126"/>
      <c r="J48" s="126"/>
      <c r="K48" s="126"/>
      <c r="L48" s="126"/>
      <c r="M48" s="126"/>
      <c r="N48" s="126"/>
      <c r="O48" s="126"/>
      <c r="P48" s="127">
        <f t="shared" si="0"/>
        <v>2</v>
      </c>
      <c r="Q48" s="128" t="str">
        <f t="shared" si="1"/>
        <v>негативно</v>
      </c>
    </row>
    <row r="49" spans="1:17" ht="16.5" customHeight="1" x14ac:dyDescent="0.2">
      <c r="A49" s="66" t="s">
        <v>210</v>
      </c>
      <c r="B49" s="68" t="s">
        <v>170</v>
      </c>
      <c r="C49" s="126" t="s">
        <v>206</v>
      </c>
      <c r="D49" s="126" t="s">
        <v>206</v>
      </c>
      <c r="E49" s="126" t="s">
        <v>206</v>
      </c>
      <c r="F49" s="126" t="s">
        <v>206</v>
      </c>
      <c r="G49" s="31" t="s">
        <v>208</v>
      </c>
      <c r="H49" s="31"/>
      <c r="I49" s="126"/>
      <c r="J49" s="126"/>
      <c r="K49" s="126"/>
      <c r="L49" s="126"/>
      <c r="M49" s="126"/>
      <c r="N49" s="126"/>
      <c r="O49" s="126"/>
      <c r="P49" s="127">
        <f t="shared" si="0"/>
        <v>4</v>
      </c>
      <c r="Q49" s="128" t="str">
        <f t="shared" si="1"/>
        <v>негативно</v>
      </c>
    </row>
    <row r="50" spans="1:17" ht="16.5" customHeight="1" x14ac:dyDescent="0.2">
      <c r="A50" s="66" t="s">
        <v>211</v>
      </c>
      <c r="B50" s="68" t="s">
        <v>171</v>
      </c>
      <c r="C50" s="126" t="s">
        <v>206</v>
      </c>
      <c r="D50" s="126" t="s">
        <v>206</v>
      </c>
      <c r="E50" s="126" t="s">
        <v>206</v>
      </c>
      <c r="F50" s="126"/>
      <c r="G50" s="31" t="s">
        <v>208</v>
      </c>
      <c r="H50" s="31"/>
      <c r="I50" s="126"/>
      <c r="J50" s="126"/>
      <c r="K50" s="126"/>
      <c r="L50" s="126"/>
      <c r="M50" s="126"/>
      <c r="N50" s="126"/>
      <c r="O50" s="126"/>
      <c r="P50" s="127">
        <f t="shared" si="0"/>
        <v>3</v>
      </c>
      <c r="Q50" s="128" t="str">
        <f t="shared" si="1"/>
        <v>негативно</v>
      </c>
    </row>
    <row r="51" spans="1:17" ht="16.5" customHeight="1" x14ac:dyDescent="0.2">
      <c r="A51" s="66" t="s">
        <v>212</v>
      </c>
      <c r="B51" s="68" t="s">
        <v>172</v>
      </c>
      <c r="C51" s="126"/>
      <c r="D51" s="126"/>
      <c r="E51" s="126"/>
      <c r="F51" s="126"/>
      <c r="G51" s="31"/>
      <c r="H51" s="31"/>
      <c r="I51" s="126"/>
      <c r="J51" s="126"/>
      <c r="K51" s="126"/>
      <c r="L51" s="126"/>
      <c r="M51" s="126"/>
      <c r="N51" s="126"/>
      <c r="O51" s="126"/>
      <c r="P51" s="127">
        <f t="shared" si="0"/>
        <v>0</v>
      </c>
      <c r="Q51" s="128" t="str">
        <f t="shared" si="1"/>
        <v>негативно</v>
      </c>
    </row>
    <row r="52" spans="1:17" ht="16.5" customHeight="1" x14ac:dyDescent="0.2">
      <c r="A52" s="66" t="s">
        <v>213</v>
      </c>
      <c r="B52" s="68" t="s">
        <v>173</v>
      </c>
      <c r="C52" s="126" t="s">
        <v>206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7">
        <f t="shared" si="0"/>
        <v>1</v>
      </c>
      <c r="Q52" s="128" t="str">
        <f t="shared" si="1"/>
        <v>негативно</v>
      </c>
    </row>
    <row r="53" spans="1:17" ht="16.5" customHeight="1" x14ac:dyDescent="0.2">
      <c r="A53" s="66" t="s">
        <v>214</v>
      </c>
      <c r="B53" s="116" t="s">
        <v>174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>
        <f t="shared" si="0"/>
        <v>0</v>
      </c>
      <c r="Q53" s="128" t="str">
        <f t="shared" si="1"/>
        <v>негативно</v>
      </c>
    </row>
    <row r="54" spans="1:17" ht="16.5" customHeight="1" x14ac:dyDescent="0.2">
      <c r="A54" s="66" t="s">
        <v>215</v>
      </c>
      <c r="B54" s="116" t="s">
        <v>175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7">
        <f t="shared" si="0"/>
        <v>0</v>
      </c>
      <c r="Q54" s="128" t="str">
        <f t="shared" si="1"/>
        <v>негативно</v>
      </c>
    </row>
    <row r="55" spans="1:17" ht="16.5" customHeight="1" x14ac:dyDescent="0.2">
      <c r="A55" s="66" t="s">
        <v>217</v>
      </c>
      <c r="B55" s="131" t="s">
        <v>176</v>
      </c>
      <c r="C55" s="126" t="s">
        <v>206</v>
      </c>
      <c r="D55" s="126" t="s">
        <v>206</v>
      </c>
      <c r="E55" s="126" t="s">
        <v>206</v>
      </c>
      <c r="F55" s="126" t="s">
        <v>206</v>
      </c>
      <c r="G55" s="126" t="s">
        <v>208</v>
      </c>
      <c r="H55" s="126"/>
      <c r="I55" s="126"/>
      <c r="J55" s="126"/>
      <c r="K55" s="126"/>
      <c r="L55" s="126"/>
      <c r="M55" s="126"/>
      <c r="N55" s="126"/>
      <c r="O55" s="126"/>
      <c r="P55" s="127">
        <f t="shared" si="0"/>
        <v>4</v>
      </c>
      <c r="Q55" s="128" t="str">
        <f t="shared" si="1"/>
        <v>негативно</v>
      </c>
    </row>
    <row r="56" spans="1:17" ht="16.5" customHeight="1" x14ac:dyDescent="0.2">
      <c r="A56" s="132" t="s">
        <v>218</v>
      </c>
      <c r="B56" s="133" t="s">
        <v>178</v>
      </c>
      <c r="C56" s="126"/>
      <c r="D56" s="126"/>
      <c r="E56" s="134"/>
      <c r="F56" s="126"/>
      <c r="G56" s="126"/>
      <c r="H56" s="134"/>
      <c r="I56" s="134"/>
      <c r="J56" s="134"/>
      <c r="K56" s="126"/>
      <c r="L56" s="134"/>
      <c r="M56" s="134"/>
      <c r="N56" s="134"/>
      <c r="O56" s="134"/>
      <c r="P56" s="127">
        <f t="shared" si="0"/>
        <v>0</v>
      </c>
      <c r="Q56" s="128" t="str">
        <f t="shared" si="1"/>
        <v>негативно</v>
      </c>
    </row>
    <row r="57" spans="1:17" ht="16.5" customHeight="1" x14ac:dyDescent="0.2">
      <c r="A57" s="135" t="s">
        <v>219</v>
      </c>
      <c r="B57" s="136" t="s">
        <v>179</v>
      </c>
      <c r="C57" s="134"/>
      <c r="D57" s="134"/>
      <c r="E57" s="134"/>
      <c r="F57" s="126"/>
      <c r="G57" s="126"/>
      <c r="H57" s="134"/>
      <c r="I57" s="134"/>
      <c r="J57" s="134"/>
      <c r="K57" s="126"/>
      <c r="L57" s="134"/>
      <c r="M57" s="134"/>
      <c r="N57" s="134"/>
      <c r="O57" s="134"/>
      <c r="P57" s="127">
        <f t="shared" si="0"/>
        <v>0</v>
      </c>
      <c r="Q57" s="128" t="str">
        <f t="shared" si="1"/>
        <v>негативно</v>
      </c>
    </row>
    <row r="58" spans="1:17" ht="16.5" customHeight="1" x14ac:dyDescent="0.2">
      <c r="A58" s="137" t="s">
        <v>220</v>
      </c>
      <c r="B58" s="138" t="s">
        <v>221</v>
      </c>
      <c r="C58" s="126" t="s">
        <v>206</v>
      </c>
      <c r="D58" s="126" t="s">
        <v>206</v>
      </c>
      <c r="E58" s="126" t="s">
        <v>206</v>
      </c>
      <c r="F58" s="126" t="s">
        <v>206</v>
      </c>
      <c r="G58" s="134" t="s">
        <v>208</v>
      </c>
      <c r="H58" s="134"/>
      <c r="I58" s="134"/>
      <c r="J58" s="134"/>
      <c r="K58" s="134"/>
      <c r="L58" s="134"/>
      <c r="M58" s="134"/>
      <c r="N58" s="134"/>
      <c r="O58" s="134"/>
      <c r="P58" s="127">
        <f t="shared" si="0"/>
        <v>4</v>
      </c>
      <c r="Q58" s="128" t="str">
        <f t="shared" si="1"/>
        <v>негативно</v>
      </c>
    </row>
    <row r="59" spans="1:17" ht="16.5" customHeight="1" x14ac:dyDescent="0.2">
      <c r="A59" s="132"/>
      <c r="B59" s="133"/>
      <c r="C59" s="126"/>
      <c r="D59" s="126"/>
      <c r="E59" s="126"/>
      <c r="F59" s="126"/>
      <c r="G59" s="134"/>
      <c r="H59" s="134"/>
      <c r="I59" s="134"/>
      <c r="J59" s="134"/>
      <c r="K59" s="134"/>
      <c r="L59" s="134"/>
      <c r="M59" s="134"/>
      <c r="N59" s="134"/>
      <c r="O59" s="134"/>
      <c r="P59" s="127">
        <f t="shared" si="0"/>
        <v>0</v>
      </c>
      <c r="Q59" s="128" t="str">
        <f t="shared" si="1"/>
        <v>негативно</v>
      </c>
    </row>
    <row r="60" spans="1:17" ht="16.5" customHeight="1" x14ac:dyDescent="0.2">
      <c r="A60" s="139"/>
      <c r="B60" s="141"/>
      <c r="C60" s="126"/>
      <c r="D60" s="126"/>
      <c r="E60" s="126"/>
      <c r="F60" s="126"/>
      <c r="G60" s="126"/>
      <c r="H60" s="126"/>
      <c r="I60" s="126"/>
      <c r="J60" s="126"/>
      <c r="K60" s="134"/>
      <c r="L60" s="126"/>
      <c r="M60" s="126"/>
      <c r="N60" s="134"/>
      <c r="O60" s="134"/>
      <c r="P60" s="127">
        <f t="shared" si="0"/>
        <v>0</v>
      </c>
      <c r="Q60" s="128" t="str">
        <f t="shared" si="1"/>
        <v>негативно</v>
      </c>
    </row>
    <row r="61" spans="1:17" ht="16.5" customHeight="1" x14ac:dyDescent="0.2">
      <c r="A61" s="66"/>
      <c r="B61" s="68"/>
      <c r="C61" s="126"/>
      <c r="D61" s="126"/>
      <c r="E61" s="126"/>
      <c r="F61" s="126"/>
      <c r="G61" s="126"/>
      <c r="H61" s="126"/>
      <c r="I61" s="134"/>
      <c r="J61" s="134"/>
      <c r="K61" s="134"/>
      <c r="L61" s="134"/>
      <c r="M61" s="126"/>
      <c r="N61" s="134"/>
      <c r="O61" s="134"/>
      <c r="P61" s="127">
        <f t="shared" si="0"/>
        <v>0</v>
      </c>
      <c r="Q61" s="128" t="str">
        <f t="shared" si="1"/>
        <v>негативно</v>
      </c>
    </row>
    <row r="62" spans="1:17" ht="16.5" customHeight="1" x14ac:dyDescent="0.2">
      <c r="A62" s="66"/>
      <c r="B62" s="68"/>
      <c r="C62" s="134"/>
      <c r="D62" s="134"/>
      <c r="E62" s="126"/>
      <c r="F62" s="134"/>
      <c r="G62" s="126"/>
      <c r="H62" s="126"/>
      <c r="I62" s="126"/>
      <c r="J62" s="126"/>
      <c r="K62" s="134"/>
      <c r="L62" s="126"/>
      <c r="M62" s="126"/>
      <c r="N62" s="134"/>
      <c r="O62" s="134"/>
      <c r="P62" s="127">
        <f t="shared" si="0"/>
        <v>0</v>
      </c>
      <c r="Q62" s="128" t="str">
        <f t="shared" si="1"/>
        <v>негативно</v>
      </c>
    </row>
    <row r="63" spans="1:17" ht="16.5" customHeight="1" x14ac:dyDescent="0.2">
      <c r="A63" s="66"/>
      <c r="B63" s="68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26"/>
      <c r="N63" s="134"/>
      <c r="O63" s="134"/>
      <c r="P63" s="127">
        <f t="shared" si="0"/>
        <v>0</v>
      </c>
      <c r="Q63" s="128" t="str">
        <f t="shared" si="1"/>
        <v>негативно</v>
      </c>
    </row>
    <row r="64" spans="1:17" ht="16.5" customHeight="1" x14ac:dyDescent="0.2">
      <c r="A64" s="66"/>
      <c r="B64" s="68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7">
        <f t="shared" si="0"/>
        <v>0</v>
      </c>
      <c r="Q64" s="128" t="str">
        <f t="shared" si="1"/>
        <v>негативно</v>
      </c>
    </row>
    <row r="65" spans="1:17" ht="16.5" customHeight="1" x14ac:dyDescent="0.2">
      <c r="A65" s="66"/>
      <c r="B65" s="68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7">
        <f t="shared" si="0"/>
        <v>0</v>
      </c>
      <c r="Q65" s="128" t="str">
        <f t="shared" si="1"/>
        <v>негативно</v>
      </c>
    </row>
    <row r="66" spans="1:17" ht="16.5" customHeight="1" x14ac:dyDescent="0.2">
      <c r="A66" s="144"/>
      <c r="B66" s="146"/>
      <c r="C66" s="24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149"/>
      <c r="Q66" s="150"/>
    </row>
    <row r="67" spans="1:17" ht="16.5" customHeight="1" x14ac:dyDescent="0.2">
      <c r="A67" s="144"/>
      <c r="B67" s="146"/>
      <c r="C67" s="24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149"/>
      <c r="Q67" s="150"/>
    </row>
    <row r="68" spans="1:17" ht="16.5" customHeight="1" x14ac:dyDescent="0.2">
      <c r="A68" s="144"/>
      <c r="B68" s="146"/>
      <c r="C68" s="24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149"/>
      <c r="Q68" s="150"/>
    </row>
  </sheetData>
  <mergeCells count="10">
    <mergeCell ref="C67:O67"/>
    <mergeCell ref="C66:O66"/>
    <mergeCell ref="C68:O68"/>
    <mergeCell ref="A4:B4"/>
    <mergeCell ref="C5:Q5"/>
    <mergeCell ref="A3:B3"/>
    <mergeCell ref="A2:B2"/>
    <mergeCell ref="C2:Q2"/>
    <mergeCell ref="A1:Q1"/>
    <mergeCell ref="C3:Q3"/>
  </mergeCells>
  <conditionalFormatting sqref="C1:P68 B55">
    <cfRule type="cellIs" dxfId="1" priority="1" operator="lessThan">
      <formula>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pane ySplit="4" topLeftCell="A5" activePane="bottomLeft" state="frozen"/>
      <selection pane="bottomLeft" activeCell="B6" sqref="B6"/>
    </sheetView>
  </sheetViews>
  <sheetFormatPr defaultColWidth="17.28515625" defaultRowHeight="15.75" customHeight="1" x14ac:dyDescent="0.2"/>
  <cols>
    <col min="1" max="1" width="7.5703125" customWidth="1"/>
    <col min="2" max="2" width="22.7109375" customWidth="1"/>
    <col min="3" max="16" width="5.42578125" customWidth="1"/>
    <col min="17" max="17" width="14.28515625" customWidth="1"/>
  </cols>
  <sheetData>
    <row r="1" spans="1:17" ht="30" customHeight="1" x14ac:dyDescent="0.2">
      <c r="A1" s="234" t="s">
        <v>224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22"/>
    </row>
    <row r="2" spans="1:17" ht="19.5" customHeight="1" x14ac:dyDescent="0.2">
      <c r="A2" s="221" t="s">
        <v>139</v>
      </c>
      <c r="B2" s="222"/>
      <c r="C2" s="237" t="s">
        <v>185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22"/>
    </row>
    <row r="3" spans="1:17" ht="19.5" customHeight="1" x14ac:dyDescent="0.2">
      <c r="A3" s="221" t="s">
        <v>141</v>
      </c>
      <c r="B3" s="222"/>
      <c r="C3" s="237" t="s">
        <v>4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2"/>
    </row>
    <row r="4" spans="1:17" ht="16.5" customHeight="1" x14ac:dyDescent="0.2">
      <c r="A4" s="241" t="s">
        <v>187</v>
      </c>
      <c r="B4" s="222"/>
      <c r="C4" s="121" t="s">
        <v>188</v>
      </c>
      <c r="D4" s="121" t="s">
        <v>189</v>
      </c>
      <c r="E4" s="121" t="s">
        <v>190</v>
      </c>
      <c r="F4" s="121" t="s">
        <v>191</v>
      </c>
      <c r="G4" s="122" t="s">
        <v>192</v>
      </c>
      <c r="H4" s="122" t="s">
        <v>194</v>
      </c>
      <c r="I4" s="121" t="s">
        <v>195</v>
      </c>
      <c r="J4" s="121" t="s">
        <v>196</v>
      </c>
      <c r="K4" s="121" t="s">
        <v>197</v>
      </c>
      <c r="L4" s="121" t="s">
        <v>198</v>
      </c>
      <c r="M4" s="121" t="s">
        <v>199</v>
      </c>
      <c r="N4" s="121" t="s">
        <v>200</v>
      </c>
      <c r="O4" s="121" t="s">
        <v>201</v>
      </c>
      <c r="P4" s="108" t="s">
        <v>202</v>
      </c>
      <c r="Q4" s="123" t="s">
        <v>203</v>
      </c>
    </row>
    <row r="5" spans="1:17" ht="16.5" customHeight="1" x14ac:dyDescent="0.2">
      <c r="A5" s="242" t="s">
        <v>225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22"/>
    </row>
    <row r="6" spans="1:17" ht="16.5" customHeight="1" x14ac:dyDescent="0.2">
      <c r="A6" s="66" t="s">
        <v>65</v>
      </c>
      <c r="B6" s="68" t="s">
        <v>66</v>
      </c>
      <c r="C6" s="31"/>
      <c r="D6" s="126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27">
        <f t="shared" ref="P6:P58" si="0">COUNTIF(C6:O6,"O")</f>
        <v>0</v>
      </c>
      <c r="Q6" s="128" t="str">
        <f t="shared" ref="Q6:Q72" si="1">IF(P6&gt;3,"нема услов","има услов")</f>
        <v>има услов</v>
      </c>
    </row>
    <row r="7" spans="1:17" ht="16.5" customHeight="1" x14ac:dyDescent="0.2">
      <c r="A7" s="66" t="s">
        <v>68</v>
      </c>
      <c r="B7" s="68" t="s">
        <v>69</v>
      </c>
      <c r="C7" s="31"/>
      <c r="D7" s="126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27">
        <f t="shared" si="0"/>
        <v>0</v>
      </c>
      <c r="Q7" s="128" t="str">
        <f t="shared" si="1"/>
        <v>има услов</v>
      </c>
    </row>
    <row r="8" spans="1:17" ht="16.5" customHeight="1" x14ac:dyDescent="0.2">
      <c r="A8" s="66" t="s">
        <v>70</v>
      </c>
      <c r="B8" s="68" t="s">
        <v>71</v>
      </c>
      <c r="C8" s="31"/>
      <c r="D8" s="126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127">
        <f t="shared" si="0"/>
        <v>0</v>
      </c>
      <c r="Q8" s="128" t="str">
        <f t="shared" si="1"/>
        <v>има услов</v>
      </c>
    </row>
    <row r="9" spans="1:17" ht="16.5" customHeight="1" x14ac:dyDescent="0.2">
      <c r="A9" s="66" t="s">
        <v>72</v>
      </c>
      <c r="B9" s="68" t="s">
        <v>73</v>
      </c>
      <c r="C9" s="31"/>
      <c r="D9" s="126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27">
        <f t="shared" si="0"/>
        <v>0</v>
      </c>
      <c r="Q9" s="128" t="str">
        <f t="shared" si="1"/>
        <v>има услов</v>
      </c>
    </row>
    <row r="10" spans="1:17" ht="16.5" customHeight="1" x14ac:dyDescent="0.2">
      <c r="A10" s="66" t="s">
        <v>74</v>
      </c>
      <c r="B10" s="68" t="s">
        <v>75</v>
      </c>
      <c r="C10" s="126" t="s">
        <v>222</v>
      </c>
      <c r="D10" s="126" t="s">
        <v>222</v>
      </c>
      <c r="E10" s="126" t="s">
        <v>222</v>
      </c>
      <c r="F10" s="126" t="s">
        <v>222</v>
      </c>
      <c r="G10" s="126" t="s">
        <v>222</v>
      </c>
      <c r="H10" s="126" t="s">
        <v>222</v>
      </c>
      <c r="I10" s="31"/>
      <c r="J10" s="31"/>
      <c r="K10" s="31"/>
      <c r="L10" s="31"/>
      <c r="M10" s="31"/>
      <c r="N10" s="31"/>
      <c r="O10" s="31"/>
      <c r="P10" s="127">
        <f t="shared" si="0"/>
        <v>6</v>
      </c>
      <c r="Q10" s="128" t="str">
        <f t="shared" si="1"/>
        <v>нема услов</v>
      </c>
    </row>
    <row r="11" spans="1:17" ht="16.5" customHeight="1" x14ac:dyDescent="0.2">
      <c r="A11" s="66" t="s">
        <v>76</v>
      </c>
      <c r="B11" s="68" t="s">
        <v>77</v>
      </c>
      <c r="C11" s="31"/>
      <c r="D11" s="12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27">
        <f t="shared" si="0"/>
        <v>0</v>
      </c>
      <c r="Q11" s="128" t="str">
        <f t="shared" si="1"/>
        <v>има услов</v>
      </c>
    </row>
    <row r="12" spans="1:17" ht="16.5" customHeight="1" x14ac:dyDescent="0.2">
      <c r="A12" s="66" t="s">
        <v>78</v>
      </c>
      <c r="B12" s="68" t="s">
        <v>79</v>
      </c>
      <c r="C12" s="31"/>
      <c r="D12" s="126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27">
        <f t="shared" si="0"/>
        <v>0</v>
      </c>
      <c r="Q12" s="128" t="str">
        <f t="shared" si="1"/>
        <v>има услов</v>
      </c>
    </row>
    <row r="13" spans="1:17" ht="16.5" customHeight="1" x14ac:dyDescent="0.2">
      <c r="A13" s="66" t="s">
        <v>80</v>
      </c>
      <c r="B13" s="68" t="s">
        <v>81</v>
      </c>
      <c r="C13" s="31"/>
      <c r="D13" s="126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27">
        <f t="shared" si="0"/>
        <v>0</v>
      </c>
      <c r="Q13" s="128" t="str">
        <f t="shared" si="1"/>
        <v>има услов</v>
      </c>
    </row>
    <row r="14" spans="1:17" ht="16.5" customHeight="1" x14ac:dyDescent="0.2">
      <c r="A14" s="66" t="s">
        <v>83</v>
      </c>
      <c r="B14" s="68" t="s">
        <v>84</v>
      </c>
      <c r="C14" s="31"/>
      <c r="D14" s="126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27">
        <f t="shared" si="0"/>
        <v>0</v>
      </c>
      <c r="Q14" s="128" t="str">
        <f t="shared" si="1"/>
        <v>има услов</v>
      </c>
    </row>
    <row r="15" spans="1:17" ht="16.5" customHeight="1" x14ac:dyDescent="0.2">
      <c r="A15" s="66" t="s">
        <v>86</v>
      </c>
      <c r="B15" s="68" t="s">
        <v>87</v>
      </c>
      <c r="C15" s="31"/>
      <c r="D15" s="126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27">
        <f t="shared" si="0"/>
        <v>0</v>
      </c>
      <c r="Q15" s="128" t="str">
        <f t="shared" si="1"/>
        <v>има услов</v>
      </c>
    </row>
    <row r="16" spans="1:17" ht="16.5" customHeight="1" x14ac:dyDescent="0.2">
      <c r="A16" s="66" t="s">
        <v>89</v>
      </c>
      <c r="B16" s="68" t="s">
        <v>90</v>
      </c>
      <c r="C16" s="126" t="s">
        <v>222</v>
      </c>
      <c r="D16" s="126" t="s">
        <v>222</v>
      </c>
      <c r="E16" s="126" t="s">
        <v>222</v>
      </c>
      <c r="F16" s="126" t="s">
        <v>222</v>
      </c>
      <c r="G16" s="126" t="s">
        <v>222</v>
      </c>
      <c r="H16" s="126" t="s">
        <v>222</v>
      </c>
      <c r="I16" s="31"/>
      <c r="J16" s="31"/>
      <c r="K16" s="31"/>
      <c r="L16" s="31"/>
      <c r="M16" s="31"/>
      <c r="N16" s="31"/>
      <c r="O16" s="31"/>
      <c r="P16" s="127">
        <f t="shared" si="0"/>
        <v>6</v>
      </c>
      <c r="Q16" s="128" t="str">
        <f t="shared" si="1"/>
        <v>нема услов</v>
      </c>
    </row>
    <row r="17" spans="1:17" ht="16.5" customHeight="1" x14ac:dyDescent="0.2">
      <c r="A17" s="66" t="s">
        <v>91</v>
      </c>
      <c r="B17" s="68" t="s">
        <v>92</v>
      </c>
      <c r="C17" s="31"/>
      <c r="D17" s="126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27">
        <f t="shared" si="0"/>
        <v>0</v>
      </c>
      <c r="Q17" s="128" t="str">
        <f t="shared" si="1"/>
        <v>има услов</v>
      </c>
    </row>
    <row r="18" spans="1:17" ht="16.5" customHeight="1" x14ac:dyDescent="0.2">
      <c r="A18" s="66" t="s">
        <v>93</v>
      </c>
      <c r="B18" s="68" t="s">
        <v>94</v>
      </c>
      <c r="C18" s="31"/>
      <c r="D18" s="12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27">
        <f t="shared" si="0"/>
        <v>0</v>
      </c>
      <c r="Q18" s="128" t="str">
        <f t="shared" si="1"/>
        <v>има услов</v>
      </c>
    </row>
    <row r="19" spans="1:17" ht="16.5" customHeight="1" x14ac:dyDescent="0.2">
      <c r="A19" s="66" t="s">
        <v>95</v>
      </c>
      <c r="B19" s="68" t="s">
        <v>96</v>
      </c>
      <c r="C19" s="31"/>
      <c r="D19" s="126"/>
      <c r="E19" s="31"/>
      <c r="F19" s="31"/>
      <c r="G19" s="31"/>
      <c r="H19" s="126" t="s">
        <v>222</v>
      </c>
      <c r="I19" s="31"/>
      <c r="J19" s="31"/>
      <c r="K19" s="31"/>
      <c r="L19" s="31"/>
      <c r="M19" s="31"/>
      <c r="N19" s="31"/>
      <c r="O19" s="31"/>
      <c r="P19" s="127">
        <f t="shared" si="0"/>
        <v>1</v>
      </c>
      <c r="Q19" s="128" t="str">
        <f t="shared" si="1"/>
        <v>има услов</v>
      </c>
    </row>
    <row r="20" spans="1:17" ht="16.5" customHeight="1" x14ac:dyDescent="0.2">
      <c r="A20" s="66" t="s">
        <v>97</v>
      </c>
      <c r="B20" s="68" t="s">
        <v>98</v>
      </c>
      <c r="C20" s="126" t="s">
        <v>222</v>
      </c>
      <c r="D20" s="126" t="s">
        <v>222</v>
      </c>
      <c r="E20" s="126" t="s">
        <v>222</v>
      </c>
      <c r="F20" s="126" t="s">
        <v>222</v>
      </c>
      <c r="G20" s="126" t="s">
        <v>222</v>
      </c>
      <c r="H20" s="126" t="s">
        <v>222</v>
      </c>
      <c r="I20" s="31"/>
      <c r="J20" s="31"/>
      <c r="K20" s="31"/>
      <c r="L20" s="31"/>
      <c r="M20" s="31"/>
      <c r="N20" s="31"/>
      <c r="O20" s="31"/>
      <c r="P20" s="127">
        <f t="shared" si="0"/>
        <v>6</v>
      </c>
      <c r="Q20" s="128" t="str">
        <f t="shared" si="1"/>
        <v>нема услов</v>
      </c>
    </row>
    <row r="21" spans="1:17" ht="16.5" customHeight="1" x14ac:dyDescent="0.2">
      <c r="A21" s="66" t="s">
        <v>99</v>
      </c>
      <c r="B21" s="68" t="s">
        <v>100</v>
      </c>
      <c r="C21" s="126" t="s">
        <v>222</v>
      </c>
      <c r="D21" s="126" t="s">
        <v>222</v>
      </c>
      <c r="E21" s="126" t="s">
        <v>222</v>
      </c>
      <c r="F21" s="126" t="s">
        <v>222</v>
      </c>
      <c r="G21" s="126" t="s">
        <v>222</v>
      </c>
      <c r="H21" s="126" t="s">
        <v>222</v>
      </c>
      <c r="I21" s="31"/>
      <c r="J21" s="31"/>
      <c r="K21" s="31"/>
      <c r="L21" s="31"/>
      <c r="M21" s="31"/>
      <c r="N21" s="31"/>
      <c r="O21" s="31"/>
      <c r="P21" s="127">
        <f t="shared" si="0"/>
        <v>6</v>
      </c>
      <c r="Q21" s="128" t="str">
        <f t="shared" si="1"/>
        <v>нема услов</v>
      </c>
    </row>
    <row r="22" spans="1:17" ht="16.5" customHeight="1" x14ac:dyDescent="0.2">
      <c r="A22" s="66" t="s">
        <v>101</v>
      </c>
      <c r="B22" s="68" t="s">
        <v>102</v>
      </c>
      <c r="C22" s="31"/>
      <c r="D22" s="126" t="s">
        <v>222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27">
        <f t="shared" si="0"/>
        <v>1</v>
      </c>
      <c r="Q22" s="128" t="str">
        <f t="shared" si="1"/>
        <v>има услов</v>
      </c>
    </row>
    <row r="23" spans="1:17" ht="16.5" customHeight="1" x14ac:dyDescent="0.2">
      <c r="A23" s="66" t="s">
        <v>103</v>
      </c>
      <c r="B23" s="68" t="s">
        <v>104</v>
      </c>
      <c r="C23" s="31"/>
      <c r="D23" s="126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27">
        <f t="shared" si="0"/>
        <v>0</v>
      </c>
      <c r="Q23" s="128" t="str">
        <f t="shared" si="1"/>
        <v>има услов</v>
      </c>
    </row>
    <row r="24" spans="1:17" ht="16.5" customHeight="1" x14ac:dyDescent="0.2">
      <c r="A24" s="66" t="s">
        <v>105</v>
      </c>
      <c r="B24" s="68" t="s">
        <v>106</v>
      </c>
      <c r="C24" s="31"/>
      <c r="D24" s="126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27">
        <f t="shared" si="0"/>
        <v>0</v>
      </c>
      <c r="Q24" s="128" t="str">
        <f t="shared" si="1"/>
        <v>има услов</v>
      </c>
    </row>
    <row r="25" spans="1:17" ht="16.5" customHeight="1" x14ac:dyDescent="0.2">
      <c r="A25" s="66" t="s">
        <v>107</v>
      </c>
      <c r="B25" s="68" t="s">
        <v>108</v>
      </c>
      <c r="C25" s="31"/>
      <c r="D25" s="126"/>
      <c r="E25" s="126" t="s">
        <v>222</v>
      </c>
      <c r="F25" s="126" t="s">
        <v>222</v>
      </c>
      <c r="G25" s="126" t="s">
        <v>222</v>
      </c>
      <c r="H25" s="126" t="s">
        <v>222</v>
      </c>
      <c r="I25" s="31"/>
      <c r="J25" s="31"/>
      <c r="K25" s="31"/>
      <c r="L25" s="31"/>
      <c r="M25" s="31"/>
      <c r="N25" s="31"/>
      <c r="O25" s="31"/>
      <c r="P25" s="127">
        <f t="shared" si="0"/>
        <v>4</v>
      </c>
      <c r="Q25" s="128" t="str">
        <f t="shared" si="1"/>
        <v>нема услов</v>
      </c>
    </row>
    <row r="26" spans="1:17" ht="16.5" customHeight="1" x14ac:dyDescent="0.2">
      <c r="A26" s="66" t="s">
        <v>109</v>
      </c>
      <c r="B26" s="68" t="s">
        <v>110</v>
      </c>
      <c r="C26" s="31"/>
      <c r="D26" s="126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27">
        <f t="shared" si="0"/>
        <v>0</v>
      </c>
      <c r="Q26" s="128" t="str">
        <f t="shared" si="1"/>
        <v>има услов</v>
      </c>
    </row>
    <row r="27" spans="1:17" ht="16.5" customHeight="1" x14ac:dyDescent="0.2">
      <c r="A27" s="66" t="s">
        <v>111</v>
      </c>
      <c r="B27" s="68" t="s">
        <v>112</v>
      </c>
      <c r="C27" s="31"/>
      <c r="D27" s="126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27">
        <f t="shared" si="0"/>
        <v>0</v>
      </c>
      <c r="Q27" s="128" t="str">
        <f t="shared" si="1"/>
        <v>има услов</v>
      </c>
    </row>
    <row r="28" spans="1:17" ht="16.5" customHeight="1" x14ac:dyDescent="0.2">
      <c r="A28" s="66" t="s">
        <v>116</v>
      </c>
      <c r="B28" s="68" t="s">
        <v>117</v>
      </c>
      <c r="C28" s="31"/>
      <c r="D28" s="126"/>
      <c r="E28" s="126" t="s">
        <v>222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27">
        <f t="shared" si="0"/>
        <v>1</v>
      </c>
      <c r="Q28" s="128" t="str">
        <f t="shared" si="1"/>
        <v>има услов</v>
      </c>
    </row>
    <row r="29" spans="1:17" ht="16.5" customHeight="1" x14ac:dyDescent="0.2">
      <c r="A29" s="66" t="s">
        <v>120</v>
      </c>
      <c r="B29" s="68" t="s">
        <v>121</v>
      </c>
      <c r="C29" s="31"/>
      <c r="D29" s="126"/>
      <c r="E29" s="31"/>
      <c r="F29" s="31"/>
      <c r="G29" s="126" t="s">
        <v>222</v>
      </c>
      <c r="H29" s="31"/>
      <c r="I29" s="31"/>
      <c r="J29" s="31"/>
      <c r="K29" s="31"/>
      <c r="L29" s="31"/>
      <c r="M29" s="31"/>
      <c r="N29" s="31"/>
      <c r="O29" s="31"/>
      <c r="P29" s="127">
        <f t="shared" si="0"/>
        <v>1</v>
      </c>
      <c r="Q29" s="128" t="str">
        <f t="shared" si="1"/>
        <v>има услов</v>
      </c>
    </row>
    <row r="30" spans="1:17" ht="16.5" customHeight="1" x14ac:dyDescent="0.2">
      <c r="A30" s="66" t="s">
        <v>122</v>
      </c>
      <c r="B30" s="68" t="s">
        <v>123</v>
      </c>
      <c r="C30" s="31"/>
      <c r="D30" s="126"/>
      <c r="E30" s="31"/>
      <c r="F30" s="31"/>
      <c r="G30" s="31"/>
      <c r="H30" s="126" t="s">
        <v>222</v>
      </c>
      <c r="I30" s="31"/>
      <c r="J30" s="31"/>
      <c r="K30" s="31"/>
      <c r="L30" s="173"/>
      <c r="M30" s="31"/>
      <c r="N30" s="173"/>
      <c r="O30" s="173"/>
      <c r="P30" s="127">
        <f t="shared" si="0"/>
        <v>1</v>
      </c>
      <c r="Q30" s="128" t="str">
        <f t="shared" si="1"/>
        <v>има услов</v>
      </c>
    </row>
    <row r="31" spans="1:17" ht="16.5" customHeight="1" x14ac:dyDescent="0.2">
      <c r="A31" s="66" t="s">
        <v>124</v>
      </c>
      <c r="B31" s="68" t="s">
        <v>125</v>
      </c>
      <c r="C31" s="126" t="s">
        <v>222</v>
      </c>
      <c r="D31" s="126" t="s">
        <v>222</v>
      </c>
      <c r="E31" s="126" t="s">
        <v>222</v>
      </c>
      <c r="F31" s="126" t="s">
        <v>222</v>
      </c>
      <c r="G31" s="126" t="s">
        <v>222</v>
      </c>
      <c r="H31" s="126" t="s">
        <v>222</v>
      </c>
      <c r="I31" s="31"/>
      <c r="J31" s="31"/>
      <c r="K31" s="31"/>
      <c r="L31" s="31"/>
      <c r="M31" s="31"/>
      <c r="N31" s="31"/>
      <c r="O31" s="31"/>
      <c r="P31" s="127">
        <f t="shared" si="0"/>
        <v>6</v>
      </c>
      <c r="Q31" s="128" t="str">
        <f t="shared" si="1"/>
        <v>нема услов</v>
      </c>
    </row>
    <row r="32" spans="1:17" ht="16.5" customHeight="1" x14ac:dyDescent="0.2">
      <c r="A32" s="66" t="s">
        <v>127</v>
      </c>
      <c r="B32" s="68" t="s">
        <v>128</v>
      </c>
      <c r="C32" s="126" t="s">
        <v>222</v>
      </c>
      <c r="D32" s="126" t="s">
        <v>222</v>
      </c>
      <c r="E32" s="126" t="s">
        <v>222</v>
      </c>
      <c r="F32" s="126" t="s">
        <v>222</v>
      </c>
      <c r="G32" s="126" t="s">
        <v>222</v>
      </c>
      <c r="H32" s="126" t="s">
        <v>222</v>
      </c>
      <c r="I32" s="31"/>
      <c r="J32" s="31"/>
      <c r="K32" s="31"/>
      <c r="L32" s="31"/>
      <c r="M32" s="31"/>
      <c r="N32" s="31"/>
      <c r="O32" s="31"/>
      <c r="P32" s="127">
        <f t="shared" si="0"/>
        <v>6</v>
      </c>
      <c r="Q32" s="128" t="str">
        <f t="shared" si="1"/>
        <v>нема услов</v>
      </c>
    </row>
    <row r="33" spans="1:17" ht="16.5" customHeight="1" x14ac:dyDescent="0.2">
      <c r="A33" s="66" t="s">
        <v>129</v>
      </c>
      <c r="B33" s="68" t="s">
        <v>130</v>
      </c>
      <c r="C33" s="126" t="s">
        <v>222</v>
      </c>
      <c r="D33" s="126" t="s">
        <v>222</v>
      </c>
      <c r="E33" s="126" t="s">
        <v>222</v>
      </c>
      <c r="F33" s="126" t="s">
        <v>222</v>
      </c>
      <c r="G33" s="126" t="s">
        <v>222</v>
      </c>
      <c r="H33" s="126" t="s">
        <v>222</v>
      </c>
      <c r="I33" s="31"/>
      <c r="J33" s="31"/>
      <c r="K33" s="31"/>
      <c r="L33" s="31"/>
      <c r="M33" s="31"/>
      <c r="N33" s="31"/>
      <c r="O33" s="31"/>
      <c r="P33" s="127">
        <f t="shared" si="0"/>
        <v>6</v>
      </c>
      <c r="Q33" s="128" t="str">
        <f t="shared" si="1"/>
        <v>нема услов</v>
      </c>
    </row>
    <row r="34" spans="1:17" ht="16.5" customHeight="1" x14ac:dyDescent="0.2">
      <c r="A34" s="66" t="s">
        <v>131</v>
      </c>
      <c r="B34" s="68" t="s">
        <v>132</v>
      </c>
      <c r="C34" s="31"/>
      <c r="D34" s="12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27">
        <f t="shared" si="0"/>
        <v>0</v>
      </c>
      <c r="Q34" s="128" t="str">
        <f t="shared" si="1"/>
        <v>има услов</v>
      </c>
    </row>
    <row r="35" spans="1:17" ht="16.5" customHeight="1" x14ac:dyDescent="0.2">
      <c r="A35" s="66" t="s">
        <v>133</v>
      </c>
      <c r="B35" s="68" t="s">
        <v>134</v>
      </c>
      <c r="C35" s="31"/>
      <c r="D35" s="12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27">
        <f t="shared" si="0"/>
        <v>0</v>
      </c>
      <c r="Q35" s="128" t="str">
        <f t="shared" si="1"/>
        <v>има услов</v>
      </c>
    </row>
    <row r="36" spans="1:17" ht="16.5" customHeight="1" x14ac:dyDescent="0.2">
      <c r="A36" s="66" t="s">
        <v>136</v>
      </c>
      <c r="B36" s="68" t="s">
        <v>137</v>
      </c>
      <c r="C36" s="31"/>
      <c r="D36" s="126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27">
        <f t="shared" si="0"/>
        <v>0</v>
      </c>
      <c r="Q36" s="128" t="str">
        <f t="shared" si="1"/>
        <v>има услов</v>
      </c>
    </row>
    <row r="37" spans="1:17" ht="16.5" customHeight="1" x14ac:dyDescent="0.2">
      <c r="A37" s="66" t="s">
        <v>143</v>
      </c>
      <c r="B37" s="68" t="s">
        <v>144</v>
      </c>
      <c r="C37" s="126" t="s">
        <v>222</v>
      </c>
      <c r="D37" s="126" t="s">
        <v>222</v>
      </c>
      <c r="E37" s="126" t="s">
        <v>222</v>
      </c>
      <c r="F37" s="126" t="s">
        <v>222</v>
      </c>
      <c r="G37" s="126" t="s">
        <v>222</v>
      </c>
      <c r="H37" s="126" t="s">
        <v>222</v>
      </c>
      <c r="I37" s="31"/>
      <c r="J37" s="31"/>
      <c r="K37" s="31"/>
      <c r="L37" s="31"/>
      <c r="M37" s="31"/>
      <c r="N37" s="31"/>
      <c r="O37" s="31"/>
      <c r="P37" s="127">
        <f t="shared" si="0"/>
        <v>6</v>
      </c>
      <c r="Q37" s="128" t="str">
        <f t="shared" si="1"/>
        <v>нема услов</v>
      </c>
    </row>
    <row r="38" spans="1:17" ht="16.5" customHeight="1" x14ac:dyDescent="0.2">
      <c r="A38" s="66" t="s">
        <v>153</v>
      </c>
      <c r="B38" s="68" t="s">
        <v>154</v>
      </c>
      <c r="C38" s="31"/>
      <c r="D38" s="12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27">
        <f t="shared" si="0"/>
        <v>0</v>
      </c>
      <c r="Q38" s="128" t="str">
        <f t="shared" si="1"/>
        <v>има услов</v>
      </c>
    </row>
    <row r="39" spans="1:17" ht="16.5" customHeight="1" x14ac:dyDescent="0.2">
      <c r="A39" s="66" t="s">
        <v>158</v>
      </c>
      <c r="B39" s="68" t="s">
        <v>159</v>
      </c>
      <c r="C39" s="126" t="s">
        <v>222</v>
      </c>
      <c r="D39" s="126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27">
        <f t="shared" si="0"/>
        <v>1</v>
      </c>
      <c r="Q39" s="128" t="str">
        <f t="shared" si="1"/>
        <v>има услов</v>
      </c>
    </row>
    <row r="40" spans="1:17" ht="16.5" customHeight="1" x14ac:dyDescent="0.2">
      <c r="A40" s="66" t="s">
        <v>160</v>
      </c>
      <c r="B40" s="68" t="s">
        <v>161</v>
      </c>
      <c r="C40" s="31"/>
      <c r="D40" s="126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27">
        <f t="shared" si="0"/>
        <v>0</v>
      </c>
      <c r="Q40" s="128" t="str">
        <f t="shared" si="1"/>
        <v>има услов</v>
      </c>
    </row>
    <row r="41" spans="1:17" ht="16.5" customHeight="1" x14ac:dyDescent="0.2">
      <c r="A41" s="66" t="s">
        <v>177</v>
      </c>
      <c r="B41" s="68" t="s">
        <v>162</v>
      </c>
      <c r="C41" s="31"/>
      <c r="D41" s="126"/>
      <c r="E41" s="31"/>
      <c r="F41" s="126" t="s">
        <v>222</v>
      </c>
      <c r="G41" s="31"/>
      <c r="H41" s="31"/>
      <c r="I41" s="31"/>
      <c r="J41" s="31"/>
      <c r="K41" s="31"/>
      <c r="L41" s="31"/>
      <c r="M41" s="31"/>
      <c r="N41" s="31"/>
      <c r="O41" s="31"/>
      <c r="P41" s="127">
        <f t="shared" si="0"/>
        <v>1</v>
      </c>
      <c r="Q41" s="128" t="str">
        <f t="shared" si="1"/>
        <v>има услов</v>
      </c>
    </row>
    <row r="42" spans="1:17" ht="16.5" customHeight="1" x14ac:dyDescent="0.2">
      <c r="A42" s="66" t="s">
        <v>182</v>
      </c>
      <c r="B42" s="68" t="s">
        <v>163</v>
      </c>
      <c r="C42" s="31"/>
      <c r="D42" s="126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27">
        <f t="shared" si="0"/>
        <v>0</v>
      </c>
      <c r="Q42" s="128" t="str">
        <f t="shared" si="1"/>
        <v>има услов</v>
      </c>
    </row>
    <row r="43" spans="1:17" ht="16.5" customHeight="1" x14ac:dyDescent="0.2">
      <c r="A43" s="66" t="s">
        <v>183</v>
      </c>
      <c r="B43" s="68" t="s">
        <v>164</v>
      </c>
      <c r="C43" s="31"/>
      <c r="D43" s="126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27">
        <f t="shared" si="0"/>
        <v>0</v>
      </c>
      <c r="Q43" s="128" t="str">
        <f t="shared" si="1"/>
        <v>има услов</v>
      </c>
    </row>
    <row r="44" spans="1:17" ht="16.5" customHeight="1" x14ac:dyDescent="0.2">
      <c r="A44" s="66" t="s">
        <v>186</v>
      </c>
      <c r="B44" s="68" t="s">
        <v>165</v>
      </c>
      <c r="C44" s="126" t="s">
        <v>222</v>
      </c>
      <c r="D44" s="126" t="s">
        <v>222</v>
      </c>
      <c r="E44" s="126" t="s">
        <v>222</v>
      </c>
      <c r="F44" s="126" t="s">
        <v>222</v>
      </c>
      <c r="G44" s="126" t="s">
        <v>222</v>
      </c>
      <c r="H44" s="126" t="s">
        <v>222</v>
      </c>
      <c r="I44" s="31"/>
      <c r="J44" s="31"/>
      <c r="K44" s="31"/>
      <c r="L44" s="31"/>
      <c r="M44" s="31"/>
      <c r="N44" s="31"/>
      <c r="O44" s="31"/>
      <c r="P44" s="127">
        <f t="shared" si="0"/>
        <v>6</v>
      </c>
      <c r="Q44" s="128" t="str">
        <f t="shared" si="1"/>
        <v>нема услов</v>
      </c>
    </row>
    <row r="45" spans="1:17" ht="16.5" customHeight="1" x14ac:dyDescent="0.2">
      <c r="A45" s="66" t="s">
        <v>193</v>
      </c>
      <c r="B45" s="68" t="s">
        <v>166</v>
      </c>
      <c r="C45" s="126" t="s">
        <v>222</v>
      </c>
      <c r="D45" s="126" t="s">
        <v>222</v>
      </c>
      <c r="E45" s="126" t="s">
        <v>222</v>
      </c>
      <c r="F45" s="126" t="s">
        <v>222</v>
      </c>
      <c r="G45" s="126" t="s">
        <v>222</v>
      </c>
      <c r="H45" s="126" t="s">
        <v>222</v>
      </c>
      <c r="I45" s="31"/>
      <c r="J45" s="31"/>
      <c r="K45" s="31"/>
      <c r="L45" s="31"/>
      <c r="M45" s="31"/>
      <c r="N45" s="31"/>
      <c r="O45" s="31"/>
      <c r="P45" s="127">
        <f t="shared" si="0"/>
        <v>6</v>
      </c>
      <c r="Q45" s="128" t="str">
        <f t="shared" si="1"/>
        <v>нема услов</v>
      </c>
    </row>
    <row r="46" spans="1:17" ht="16.5" customHeight="1" x14ac:dyDescent="0.2">
      <c r="A46" s="66" t="s">
        <v>205</v>
      </c>
      <c r="B46" s="68" t="s">
        <v>167</v>
      </c>
      <c r="C46" s="31"/>
      <c r="D46" s="126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27">
        <f t="shared" si="0"/>
        <v>0</v>
      </c>
      <c r="Q46" s="128" t="str">
        <f t="shared" si="1"/>
        <v>има услов</v>
      </c>
    </row>
    <row r="47" spans="1:17" ht="16.5" customHeight="1" x14ac:dyDescent="0.2">
      <c r="A47" s="66" t="s">
        <v>207</v>
      </c>
      <c r="B47" s="68" t="s">
        <v>168</v>
      </c>
      <c r="C47" s="31"/>
      <c r="D47" s="126"/>
      <c r="E47" s="31"/>
      <c r="F47" s="126" t="s">
        <v>222</v>
      </c>
      <c r="G47" s="31"/>
      <c r="H47" s="31"/>
      <c r="I47" s="31"/>
      <c r="J47" s="31"/>
      <c r="K47" s="31"/>
      <c r="L47" s="31"/>
      <c r="M47" s="31"/>
      <c r="N47" s="31"/>
      <c r="O47" s="31"/>
      <c r="P47" s="127">
        <f t="shared" si="0"/>
        <v>1</v>
      </c>
      <c r="Q47" s="128" t="str">
        <f t="shared" si="1"/>
        <v>има услов</v>
      </c>
    </row>
    <row r="48" spans="1:17" ht="16.5" customHeight="1" x14ac:dyDescent="0.2">
      <c r="A48" s="66" t="s">
        <v>209</v>
      </c>
      <c r="B48" s="68" t="s">
        <v>169</v>
      </c>
      <c r="C48" s="31"/>
      <c r="D48" s="126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27">
        <f t="shared" si="0"/>
        <v>0</v>
      </c>
      <c r="Q48" s="128" t="str">
        <f t="shared" si="1"/>
        <v>има услов</v>
      </c>
    </row>
    <row r="49" spans="1:17" ht="16.5" customHeight="1" x14ac:dyDescent="0.2">
      <c r="A49" s="66" t="s">
        <v>210</v>
      </c>
      <c r="B49" s="68" t="s">
        <v>170</v>
      </c>
      <c r="C49" s="31"/>
      <c r="D49" s="126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27">
        <f t="shared" si="0"/>
        <v>0</v>
      </c>
      <c r="Q49" s="128" t="str">
        <f t="shared" si="1"/>
        <v>има услов</v>
      </c>
    </row>
    <row r="50" spans="1:17" ht="16.5" customHeight="1" x14ac:dyDescent="0.2">
      <c r="A50" s="66" t="s">
        <v>211</v>
      </c>
      <c r="B50" s="68" t="s">
        <v>171</v>
      </c>
      <c r="C50" s="126" t="s">
        <v>222</v>
      </c>
      <c r="D50" s="126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27">
        <f t="shared" si="0"/>
        <v>1</v>
      </c>
      <c r="Q50" s="128" t="str">
        <f t="shared" si="1"/>
        <v>има услов</v>
      </c>
    </row>
    <row r="51" spans="1:17" ht="16.5" customHeight="1" x14ac:dyDescent="0.2">
      <c r="A51" s="66" t="s">
        <v>212</v>
      </c>
      <c r="B51" s="68" t="s">
        <v>172</v>
      </c>
      <c r="C51" s="126" t="s">
        <v>222</v>
      </c>
      <c r="D51" s="126" t="s">
        <v>222</v>
      </c>
      <c r="E51" s="126" t="s">
        <v>222</v>
      </c>
      <c r="F51" s="126" t="s">
        <v>222</v>
      </c>
      <c r="G51" s="126" t="s">
        <v>222</v>
      </c>
      <c r="H51" s="126" t="s">
        <v>222</v>
      </c>
      <c r="I51" s="31"/>
      <c r="J51" s="31"/>
      <c r="K51" s="31"/>
      <c r="L51" s="31"/>
      <c r="M51" s="31"/>
      <c r="N51" s="31"/>
      <c r="O51" s="31"/>
      <c r="P51" s="127">
        <f t="shared" si="0"/>
        <v>6</v>
      </c>
      <c r="Q51" s="128" t="str">
        <f t="shared" si="1"/>
        <v>нема услов</v>
      </c>
    </row>
    <row r="52" spans="1:17" ht="16.5" customHeight="1" x14ac:dyDescent="0.2">
      <c r="A52" s="66" t="s">
        <v>213</v>
      </c>
      <c r="B52" s="68" t="s">
        <v>173</v>
      </c>
      <c r="C52" s="31"/>
      <c r="D52" s="126"/>
      <c r="E52" s="31"/>
      <c r="F52" s="126" t="s">
        <v>222</v>
      </c>
      <c r="G52" s="31"/>
      <c r="H52" s="31"/>
      <c r="I52" s="31"/>
      <c r="J52" s="31"/>
      <c r="K52" s="31"/>
      <c r="L52" s="31"/>
      <c r="M52" s="31"/>
      <c r="N52" s="31"/>
      <c r="O52" s="31"/>
      <c r="P52" s="127">
        <f t="shared" si="0"/>
        <v>1</v>
      </c>
      <c r="Q52" s="128" t="str">
        <f t="shared" si="1"/>
        <v>има услов</v>
      </c>
    </row>
    <row r="53" spans="1:17" ht="16.5" customHeight="1" x14ac:dyDescent="0.2">
      <c r="A53" s="66" t="s">
        <v>214</v>
      </c>
      <c r="B53" s="116" t="s">
        <v>174</v>
      </c>
      <c r="C53" s="126" t="s">
        <v>222</v>
      </c>
      <c r="D53" s="126" t="s">
        <v>222</v>
      </c>
      <c r="E53" s="126" t="s">
        <v>222</v>
      </c>
      <c r="F53" s="126" t="s">
        <v>222</v>
      </c>
      <c r="G53" s="126" t="s">
        <v>222</v>
      </c>
      <c r="H53" s="126" t="s">
        <v>222</v>
      </c>
      <c r="I53" s="31"/>
      <c r="J53" s="31"/>
      <c r="K53" s="31"/>
      <c r="L53" s="31"/>
      <c r="M53" s="31"/>
      <c r="N53" s="31"/>
      <c r="O53" s="31"/>
      <c r="P53" s="127">
        <f t="shared" si="0"/>
        <v>6</v>
      </c>
      <c r="Q53" s="128" t="str">
        <f t="shared" si="1"/>
        <v>нема услов</v>
      </c>
    </row>
    <row r="54" spans="1:17" ht="16.5" customHeight="1" x14ac:dyDescent="0.2">
      <c r="A54" s="66" t="s">
        <v>215</v>
      </c>
      <c r="B54" s="116" t="s">
        <v>175</v>
      </c>
      <c r="C54" s="126" t="s">
        <v>222</v>
      </c>
      <c r="D54" s="126" t="s">
        <v>222</v>
      </c>
      <c r="E54" s="126" t="s">
        <v>222</v>
      </c>
      <c r="F54" s="126" t="s">
        <v>222</v>
      </c>
      <c r="G54" s="126" t="s">
        <v>222</v>
      </c>
      <c r="H54" s="126" t="s">
        <v>222</v>
      </c>
      <c r="I54" s="31"/>
      <c r="J54" s="31"/>
      <c r="K54" s="31"/>
      <c r="L54" s="31"/>
      <c r="M54" s="31"/>
      <c r="N54" s="31"/>
      <c r="O54" s="31"/>
      <c r="P54" s="127">
        <f t="shared" si="0"/>
        <v>6</v>
      </c>
      <c r="Q54" s="128" t="str">
        <f t="shared" si="1"/>
        <v>нема услов</v>
      </c>
    </row>
    <row r="55" spans="1:17" ht="16.5" customHeight="1" x14ac:dyDescent="0.2">
      <c r="A55" s="66" t="s">
        <v>217</v>
      </c>
      <c r="B55" s="68" t="s">
        <v>176</v>
      </c>
      <c r="C55" s="126" t="s">
        <v>222</v>
      </c>
      <c r="D55" s="126" t="s">
        <v>222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27">
        <f t="shared" si="0"/>
        <v>2</v>
      </c>
      <c r="Q55" s="128" t="str">
        <f t="shared" si="1"/>
        <v>има услов</v>
      </c>
    </row>
    <row r="56" spans="1:17" ht="16.5" customHeight="1" x14ac:dyDescent="0.2">
      <c r="A56" s="132" t="s">
        <v>218</v>
      </c>
      <c r="B56" s="133" t="s">
        <v>178</v>
      </c>
      <c r="C56" s="126" t="s">
        <v>222</v>
      </c>
      <c r="D56" s="126" t="s">
        <v>222</v>
      </c>
      <c r="E56" s="126" t="s">
        <v>222</v>
      </c>
      <c r="F56" s="126" t="s">
        <v>222</v>
      </c>
      <c r="G56" s="126" t="s">
        <v>222</v>
      </c>
      <c r="H56" s="126" t="s">
        <v>222</v>
      </c>
      <c r="I56" s="208"/>
      <c r="J56" s="208"/>
      <c r="K56" s="31"/>
      <c r="L56" s="208"/>
      <c r="M56" s="208"/>
      <c r="N56" s="208"/>
      <c r="O56" s="208"/>
      <c r="P56" s="127">
        <f t="shared" si="0"/>
        <v>6</v>
      </c>
      <c r="Q56" s="128" t="str">
        <f t="shared" si="1"/>
        <v>нема услов</v>
      </c>
    </row>
    <row r="57" spans="1:17" ht="16.5" customHeight="1" x14ac:dyDescent="0.2">
      <c r="A57" s="132" t="s">
        <v>219</v>
      </c>
      <c r="B57" s="133" t="s">
        <v>179</v>
      </c>
      <c r="C57" s="126" t="s">
        <v>222</v>
      </c>
      <c r="D57" s="126" t="s">
        <v>222</v>
      </c>
      <c r="E57" s="126" t="s">
        <v>222</v>
      </c>
      <c r="F57" s="126" t="s">
        <v>222</v>
      </c>
      <c r="G57" s="126" t="s">
        <v>222</v>
      </c>
      <c r="H57" s="126" t="s">
        <v>222</v>
      </c>
      <c r="I57" s="31"/>
      <c r="J57" s="31"/>
      <c r="K57" s="31"/>
      <c r="L57" s="31"/>
      <c r="M57" s="31"/>
      <c r="N57" s="31"/>
      <c r="O57" s="31"/>
      <c r="P57" s="127">
        <f t="shared" si="0"/>
        <v>6</v>
      </c>
      <c r="Q57" s="128" t="str">
        <f t="shared" si="1"/>
        <v>нема услов</v>
      </c>
    </row>
    <row r="58" spans="1:17" ht="16.5" customHeight="1" x14ac:dyDescent="0.2">
      <c r="A58" s="137" t="s">
        <v>220</v>
      </c>
      <c r="B58" s="138" t="s">
        <v>221</v>
      </c>
      <c r="C58" s="209"/>
      <c r="D58" s="209"/>
      <c r="E58" s="209"/>
      <c r="F58" s="209"/>
      <c r="G58" s="209"/>
      <c r="H58" s="209"/>
      <c r="I58" s="210"/>
      <c r="J58" s="210"/>
      <c r="K58" s="210"/>
      <c r="L58" s="210"/>
      <c r="M58" s="210"/>
      <c r="N58" s="210"/>
      <c r="O58" s="210"/>
      <c r="P58" s="127">
        <f t="shared" si="0"/>
        <v>0</v>
      </c>
      <c r="Q58" s="128" t="str">
        <f t="shared" si="1"/>
        <v>има услов</v>
      </c>
    </row>
    <row r="59" spans="1:17" ht="16.5" customHeight="1" x14ac:dyDescent="0.2">
      <c r="A59" s="66" t="s">
        <v>226</v>
      </c>
      <c r="B59" s="68" t="s">
        <v>227</v>
      </c>
      <c r="C59" s="243" t="s">
        <v>274</v>
      </c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5"/>
      <c r="P59" s="130"/>
      <c r="Q59" s="211" t="str">
        <f t="shared" si="1"/>
        <v>има услов</v>
      </c>
    </row>
    <row r="60" spans="1:17" ht="16.5" customHeight="1" x14ac:dyDescent="0.2">
      <c r="A60" s="66" t="s">
        <v>230</v>
      </c>
      <c r="B60" s="68" t="s">
        <v>231</v>
      </c>
      <c r="C60" s="243" t="s">
        <v>274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5"/>
      <c r="P60" s="130"/>
      <c r="Q60" s="211" t="str">
        <f t="shared" si="1"/>
        <v>има услов</v>
      </c>
    </row>
    <row r="61" spans="1:17" ht="16.5" customHeight="1" x14ac:dyDescent="0.2">
      <c r="A61" s="66" t="s">
        <v>232</v>
      </c>
      <c r="B61" s="68" t="s">
        <v>233</v>
      </c>
      <c r="C61" s="243" t="s">
        <v>274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5"/>
      <c r="P61" s="130"/>
      <c r="Q61" s="211" t="str">
        <f t="shared" si="1"/>
        <v>има услов</v>
      </c>
    </row>
    <row r="62" spans="1:17" ht="16.5" customHeight="1" x14ac:dyDescent="0.2">
      <c r="A62" s="66" t="s">
        <v>234</v>
      </c>
      <c r="B62" s="68" t="s">
        <v>235</v>
      </c>
      <c r="C62" s="243" t="s">
        <v>274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5"/>
      <c r="P62" s="130"/>
      <c r="Q62" s="211" t="str">
        <f t="shared" si="1"/>
        <v>има услов</v>
      </c>
    </row>
    <row r="63" spans="1:17" ht="16.5" customHeight="1" x14ac:dyDescent="0.2">
      <c r="A63" s="66" t="s">
        <v>236</v>
      </c>
      <c r="B63" s="68" t="s">
        <v>237</v>
      </c>
      <c r="C63" s="243" t="s">
        <v>274</v>
      </c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5"/>
      <c r="P63" s="130"/>
      <c r="Q63" s="211" t="str">
        <f t="shared" si="1"/>
        <v>има услов</v>
      </c>
    </row>
    <row r="64" spans="1:17" ht="16.5" customHeight="1" x14ac:dyDescent="0.2">
      <c r="A64" s="66" t="s">
        <v>238</v>
      </c>
      <c r="B64" s="68" t="s">
        <v>239</v>
      </c>
      <c r="C64" s="243" t="s">
        <v>274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5"/>
      <c r="P64" s="127"/>
      <c r="Q64" s="128" t="str">
        <f t="shared" si="1"/>
        <v>има услов</v>
      </c>
    </row>
    <row r="65" spans="1:17" ht="16.5" customHeight="1" x14ac:dyDescent="0.2">
      <c r="A65" s="132" t="s">
        <v>240</v>
      </c>
      <c r="B65" s="133" t="s">
        <v>241</v>
      </c>
      <c r="C65" s="243" t="s">
        <v>274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5"/>
      <c r="P65" s="127"/>
      <c r="Q65" s="128" t="str">
        <f t="shared" si="1"/>
        <v>има услов</v>
      </c>
    </row>
    <row r="66" spans="1:17" ht="16.5" customHeight="1" x14ac:dyDescent="0.2">
      <c r="A66" s="132" t="s">
        <v>242</v>
      </c>
      <c r="B66" s="133" t="s">
        <v>243</v>
      </c>
      <c r="C66" s="243" t="s">
        <v>274</v>
      </c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5"/>
      <c r="P66" s="127"/>
      <c r="Q66" s="128" t="str">
        <f t="shared" si="1"/>
        <v>има услов</v>
      </c>
    </row>
    <row r="67" spans="1:17" ht="16.5" customHeight="1" x14ac:dyDescent="0.2">
      <c r="A67" s="132" t="s">
        <v>244</v>
      </c>
      <c r="B67" s="133" t="s">
        <v>245</v>
      </c>
      <c r="C67" s="243" t="s">
        <v>274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5"/>
      <c r="P67" s="127"/>
      <c r="Q67" s="128" t="str">
        <f t="shared" si="1"/>
        <v>има услов</v>
      </c>
    </row>
    <row r="68" spans="1:17" ht="16.5" customHeight="1" x14ac:dyDescent="0.2">
      <c r="A68" s="132" t="s">
        <v>246</v>
      </c>
      <c r="B68" s="133" t="s">
        <v>247</v>
      </c>
      <c r="C68" s="243" t="s">
        <v>274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5"/>
      <c r="P68" s="127"/>
      <c r="Q68" s="128" t="str">
        <f t="shared" si="1"/>
        <v>има услов</v>
      </c>
    </row>
    <row r="69" spans="1:17" ht="16.5" customHeight="1" x14ac:dyDescent="0.2">
      <c r="A69" s="132" t="s">
        <v>248</v>
      </c>
      <c r="B69" s="174" t="s">
        <v>249</v>
      </c>
      <c r="C69" s="243" t="s">
        <v>274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5"/>
      <c r="P69" s="127"/>
      <c r="Q69" s="128" t="str">
        <f t="shared" si="1"/>
        <v>има услов</v>
      </c>
    </row>
    <row r="70" spans="1:17" ht="16.5" customHeight="1" x14ac:dyDescent="0.2">
      <c r="A70" s="175" t="s">
        <v>250</v>
      </c>
      <c r="B70" s="176" t="s">
        <v>251</v>
      </c>
      <c r="C70" s="243" t="s">
        <v>274</v>
      </c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5"/>
      <c r="P70" s="127"/>
      <c r="Q70" s="128" t="str">
        <f t="shared" si="1"/>
        <v>има услов</v>
      </c>
    </row>
    <row r="71" spans="1:17" ht="16.5" customHeight="1" x14ac:dyDescent="0.2">
      <c r="A71" s="178" t="s">
        <v>252</v>
      </c>
      <c r="B71" s="176" t="s">
        <v>253</v>
      </c>
      <c r="C71" s="243" t="s">
        <v>274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5"/>
      <c r="P71" s="127"/>
      <c r="Q71" s="128" t="str">
        <f t="shared" si="1"/>
        <v>има услов</v>
      </c>
    </row>
    <row r="72" spans="1:17" ht="16.5" customHeight="1" x14ac:dyDescent="0.2">
      <c r="A72" s="179" t="s">
        <v>254</v>
      </c>
      <c r="B72" s="120" t="s">
        <v>255</v>
      </c>
      <c r="C72" s="243" t="s">
        <v>274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5"/>
      <c r="P72" s="127"/>
      <c r="Q72" s="128" t="str">
        <f t="shared" si="1"/>
        <v>има услов</v>
      </c>
    </row>
    <row r="73" spans="1:17" ht="16.5" customHeight="1" x14ac:dyDescent="0.2">
      <c r="A73" s="144"/>
      <c r="B73" s="146"/>
      <c r="C73" s="24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149"/>
      <c r="Q73" s="150"/>
    </row>
    <row r="74" spans="1:17" ht="16.5" customHeight="1" x14ac:dyDescent="0.2">
      <c r="A74" s="144"/>
      <c r="B74" s="146"/>
      <c r="C74" s="24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149"/>
      <c r="Q74" s="150"/>
    </row>
    <row r="75" spans="1:17" ht="16.5" customHeight="1" x14ac:dyDescent="0.2">
      <c r="A75" s="144"/>
      <c r="B75" s="146"/>
      <c r="C75" s="24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149"/>
      <c r="Q75" s="150"/>
    </row>
  </sheetData>
  <mergeCells count="24">
    <mergeCell ref="C66:O66"/>
    <mergeCell ref="C65:O65"/>
    <mergeCell ref="C63:O63"/>
    <mergeCell ref="C59:O59"/>
    <mergeCell ref="C60:O60"/>
    <mergeCell ref="C61:O61"/>
    <mergeCell ref="C62:O62"/>
    <mergeCell ref="C64:O64"/>
    <mergeCell ref="C73:O73"/>
    <mergeCell ref="C74:O74"/>
    <mergeCell ref="C75:O75"/>
    <mergeCell ref="C70:O70"/>
    <mergeCell ref="C67:O67"/>
    <mergeCell ref="C68:O68"/>
    <mergeCell ref="C69:O69"/>
    <mergeCell ref="C72:O72"/>
    <mergeCell ref="C71:O71"/>
    <mergeCell ref="A4:B4"/>
    <mergeCell ref="A3:B3"/>
    <mergeCell ref="A2:B2"/>
    <mergeCell ref="A1:Q1"/>
    <mergeCell ref="A5:Q5"/>
    <mergeCell ref="C2:Q2"/>
    <mergeCell ref="C3:Q3"/>
  </mergeCells>
  <conditionalFormatting sqref="C2:P4 C6:O62 P6:P75 C73:O75">
    <cfRule type="cellIs" dxfId="0" priority="1" operator="lessThan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коначна табела финал</vt:lpstr>
      <vt:lpstr>студентска</vt:lpstr>
      <vt:lpstr>пријаве</vt:lpstr>
      <vt:lpstr>ЕВ</vt:lpstr>
      <vt:lpstr>Активност</vt:lpstr>
      <vt:lpstr>Присуство</vt:lpstr>
      <vt:lpstr>'коначна табела финал'!OLE_LINK1</vt:lpstr>
      <vt:lpstr>Активност!Print_Area</vt:lpstr>
      <vt:lpstr>'коначна табела финал'!Print_Area</vt:lpstr>
      <vt:lpstr>пријаве!Print_Area</vt:lpstr>
      <vt:lpstr>Присуство!Print_Area</vt:lpstr>
      <vt:lpstr>студентска!Print_Area</vt:lpstr>
      <vt:lpstr>'коначна табела финал'!Table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PCAGF20-2</dc:creator>
  <cp:lastModifiedBy>PCAGF20-2</cp:lastModifiedBy>
  <dcterms:created xsi:type="dcterms:W3CDTF">2017-04-06T12:51:23Z</dcterms:created>
  <dcterms:modified xsi:type="dcterms:W3CDTF">2017-04-06T12:51:24Z</dcterms:modified>
</cp:coreProperties>
</file>