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astava\2016 2017_AP 6_HANGAR\"/>
    </mc:Choice>
  </mc:AlternateContent>
  <bookViews>
    <workbookView xWindow="0" yWindow="0" windowWidth="23980" windowHeight="9750" activeTab="1"/>
  </bookViews>
  <sheets>
    <sheet name="коначна табела финал" sheetId="1" r:id="rId1"/>
    <sheet name="студентскаJUL 2017 " sheetId="13" r:id="rId2"/>
  </sheets>
  <definedNames>
    <definedName name="OLE_LINK1" localSheetId="0">'коначна табела финал'!$A$1</definedName>
    <definedName name="Table" localSheetId="0">'коначна табела финал'!$C$8:$W$63</definedName>
  </definedNames>
  <calcPr calcId="162913"/>
</workbook>
</file>

<file path=xl/calcChain.xml><?xml version="1.0" encoding="utf-8"?>
<calcChain xmlns="http://schemas.openxmlformats.org/spreadsheetml/2006/main">
  <c r="U58" i="1" l="1"/>
  <c r="O17" i="13"/>
  <c r="O18" i="13"/>
  <c r="K17" i="13"/>
  <c r="C28" i="13"/>
  <c r="E28" i="13"/>
  <c r="F28" i="13"/>
  <c r="K28" i="13"/>
  <c r="C24" i="13"/>
  <c r="D24" i="13"/>
  <c r="E24" i="13"/>
  <c r="F24" i="13"/>
  <c r="K24" i="13"/>
  <c r="M24" i="13" s="1"/>
  <c r="O24" i="13"/>
  <c r="C25" i="13"/>
  <c r="D25" i="13"/>
  <c r="E25" i="13"/>
  <c r="F25" i="13"/>
  <c r="K25" i="13"/>
  <c r="C26" i="13"/>
  <c r="D26" i="13"/>
  <c r="E26" i="13"/>
  <c r="F26" i="13"/>
  <c r="K26" i="13"/>
  <c r="M26" i="13" s="1"/>
  <c r="C27" i="13"/>
  <c r="E27" i="13"/>
  <c r="F27" i="13"/>
  <c r="K27" i="13"/>
  <c r="D13" i="13"/>
  <c r="D14" i="13"/>
  <c r="D15" i="13"/>
  <c r="D16" i="13"/>
  <c r="F72" i="13"/>
  <c r="F71" i="13"/>
  <c r="L68" i="13"/>
  <c r="O68" i="13" s="1"/>
  <c r="J68" i="13"/>
  <c r="I68" i="13"/>
  <c r="H68" i="13"/>
  <c r="G68" i="13"/>
  <c r="F68" i="13"/>
  <c r="E68" i="13"/>
  <c r="D68" i="13"/>
  <c r="C68" i="13"/>
  <c r="L67" i="13"/>
  <c r="O67" i="13" s="1"/>
  <c r="J67" i="13"/>
  <c r="I67" i="13"/>
  <c r="H67" i="13"/>
  <c r="G67" i="13"/>
  <c r="F67" i="13"/>
  <c r="E67" i="13"/>
  <c r="D67" i="13"/>
  <c r="C67" i="13"/>
  <c r="L66" i="13"/>
  <c r="O66" i="13" s="1"/>
  <c r="J66" i="13"/>
  <c r="I66" i="13"/>
  <c r="H66" i="13"/>
  <c r="G66" i="13"/>
  <c r="F66" i="13"/>
  <c r="E66" i="13"/>
  <c r="D66" i="13"/>
  <c r="C66" i="13"/>
  <c r="L65" i="13"/>
  <c r="O65" i="13" s="1"/>
  <c r="J65" i="13"/>
  <c r="I65" i="13"/>
  <c r="H65" i="13"/>
  <c r="G65" i="13"/>
  <c r="F65" i="13"/>
  <c r="E65" i="13"/>
  <c r="D65" i="13"/>
  <c r="C65" i="13"/>
  <c r="L64" i="13"/>
  <c r="O64" i="13" s="1"/>
  <c r="J64" i="13"/>
  <c r="I64" i="13"/>
  <c r="H64" i="13"/>
  <c r="G64" i="13"/>
  <c r="F64" i="13"/>
  <c r="E64" i="13"/>
  <c r="D64" i="13"/>
  <c r="C64" i="13"/>
  <c r="L63" i="13"/>
  <c r="O63" i="13" s="1"/>
  <c r="J63" i="13"/>
  <c r="I63" i="13"/>
  <c r="H63" i="13"/>
  <c r="G63" i="13"/>
  <c r="F63" i="13"/>
  <c r="E63" i="13"/>
  <c r="D63" i="13"/>
  <c r="C63" i="13"/>
  <c r="L62" i="13"/>
  <c r="O62" i="13" s="1"/>
  <c r="J62" i="13"/>
  <c r="I62" i="13"/>
  <c r="H62" i="13"/>
  <c r="G62" i="13"/>
  <c r="F62" i="13"/>
  <c r="E62" i="13"/>
  <c r="D62" i="13"/>
  <c r="C62" i="13"/>
  <c r="L61" i="13"/>
  <c r="O61" i="13" s="1"/>
  <c r="J61" i="13"/>
  <c r="I61" i="13"/>
  <c r="H61" i="13"/>
  <c r="G61" i="13"/>
  <c r="F61" i="13"/>
  <c r="E61" i="13"/>
  <c r="D61" i="13"/>
  <c r="C61" i="13"/>
  <c r="L60" i="13"/>
  <c r="O60" i="13" s="1"/>
  <c r="J60" i="13"/>
  <c r="I60" i="13"/>
  <c r="H60" i="13"/>
  <c r="G60" i="13"/>
  <c r="F60" i="13"/>
  <c r="E60" i="13"/>
  <c r="D60" i="13"/>
  <c r="C60" i="13"/>
  <c r="L59" i="13"/>
  <c r="O59" i="13" s="1"/>
  <c r="J59" i="13"/>
  <c r="I59" i="13"/>
  <c r="H59" i="13"/>
  <c r="G59" i="13"/>
  <c r="F59" i="13"/>
  <c r="E59" i="13"/>
  <c r="D59" i="13"/>
  <c r="C59" i="13"/>
  <c r="L58" i="13"/>
  <c r="O58" i="13" s="1"/>
  <c r="J58" i="13"/>
  <c r="I58" i="13"/>
  <c r="H58" i="13"/>
  <c r="G58" i="13"/>
  <c r="F58" i="13"/>
  <c r="E58" i="13"/>
  <c r="D58" i="13"/>
  <c r="C58" i="13"/>
  <c r="L57" i="13"/>
  <c r="O57" i="13" s="1"/>
  <c r="J57" i="13"/>
  <c r="I57" i="13"/>
  <c r="H57" i="13"/>
  <c r="G57" i="13"/>
  <c r="F57" i="13"/>
  <c r="E57" i="13"/>
  <c r="D57" i="13"/>
  <c r="C57" i="13"/>
  <c r="L56" i="13"/>
  <c r="O56" i="13" s="1"/>
  <c r="J56" i="13"/>
  <c r="I56" i="13"/>
  <c r="H56" i="13"/>
  <c r="G56" i="13"/>
  <c r="F56" i="13"/>
  <c r="E56" i="13"/>
  <c r="D56" i="13"/>
  <c r="C56" i="13"/>
  <c r="L55" i="13"/>
  <c r="O55" i="13" s="1"/>
  <c r="J55" i="13"/>
  <c r="I55" i="13"/>
  <c r="H55" i="13"/>
  <c r="G55" i="13"/>
  <c r="F55" i="13"/>
  <c r="E55" i="13"/>
  <c r="D55" i="13"/>
  <c r="C55" i="13"/>
  <c r="L54" i="13"/>
  <c r="O54" i="13" s="1"/>
  <c r="J54" i="13"/>
  <c r="I54" i="13"/>
  <c r="H54" i="13"/>
  <c r="G54" i="13"/>
  <c r="F54" i="13"/>
  <c r="E54" i="13"/>
  <c r="D54" i="13"/>
  <c r="C54" i="13"/>
  <c r="L53" i="13"/>
  <c r="O53" i="13" s="1"/>
  <c r="J53" i="13"/>
  <c r="I53" i="13"/>
  <c r="H53" i="13"/>
  <c r="G53" i="13"/>
  <c r="F53" i="13"/>
  <c r="E53" i="13"/>
  <c r="D53" i="13"/>
  <c r="C53" i="13"/>
  <c r="L52" i="13"/>
  <c r="O52" i="13" s="1"/>
  <c r="J52" i="13"/>
  <c r="I52" i="13"/>
  <c r="H52" i="13"/>
  <c r="G52" i="13"/>
  <c r="F52" i="13"/>
  <c r="E52" i="13"/>
  <c r="D52" i="13"/>
  <c r="C52" i="13"/>
  <c r="L51" i="13"/>
  <c r="O51" i="13" s="1"/>
  <c r="J51" i="13"/>
  <c r="I51" i="13"/>
  <c r="H51" i="13"/>
  <c r="G51" i="13"/>
  <c r="F51" i="13"/>
  <c r="E51" i="13"/>
  <c r="D51" i="13"/>
  <c r="C51" i="13"/>
  <c r="L50" i="13"/>
  <c r="O50" i="13" s="1"/>
  <c r="J50" i="13"/>
  <c r="I50" i="13"/>
  <c r="H50" i="13"/>
  <c r="G50" i="13"/>
  <c r="F50" i="13"/>
  <c r="E50" i="13"/>
  <c r="D50" i="13"/>
  <c r="C50" i="13"/>
  <c r="L49" i="13"/>
  <c r="O49" i="13" s="1"/>
  <c r="J49" i="13"/>
  <c r="I49" i="13"/>
  <c r="H49" i="13"/>
  <c r="G49" i="13"/>
  <c r="F49" i="13"/>
  <c r="E49" i="13"/>
  <c r="D49" i="13"/>
  <c r="C49" i="13"/>
  <c r="L48" i="13"/>
  <c r="O48" i="13" s="1"/>
  <c r="J48" i="13"/>
  <c r="I48" i="13"/>
  <c r="H48" i="13"/>
  <c r="G48" i="13"/>
  <c r="F48" i="13"/>
  <c r="E48" i="13"/>
  <c r="D48" i="13"/>
  <c r="C48" i="13"/>
  <c r="L47" i="13"/>
  <c r="O47" i="13" s="1"/>
  <c r="J47" i="13"/>
  <c r="I47" i="13"/>
  <c r="H47" i="13"/>
  <c r="G47" i="13"/>
  <c r="F47" i="13"/>
  <c r="E47" i="13"/>
  <c r="D47" i="13"/>
  <c r="C47" i="13"/>
  <c r="L46" i="13"/>
  <c r="O46" i="13" s="1"/>
  <c r="J46" i="13"/>
  <c r="I46" i="13"/>
  <c r="H46" i="13"/>
  <c r="G46" i="13"/>
  <c r="F46" i="13"/>
  <c r="E46" i="13"/>
  <c r="D46" i="13"/>
  <c r="C46" i="13"/>
  <c r="L45" i="13"/>
  <c r="O45" i="13" s="1"/>
  <c r="J45" i="13"/>
  <c r="I45" i="13"/>
  <c r="H45" i="13"/>
  <c r="G45" i="13"/>
  <c r="F45" i="13"/>
  <c r="E45" i="13"/>
  <c r="D45" i="13"/>
  <c r="C45" i="13"/>
  <c r="L44" i="13"/>
  <c r="O44" i="13" s="1"/>
  <c r="J44" i="13"/>
  <c r="I44" i="13"/>
  <c r="H44" i="13"/>
  <c r="G44" i="13"/>
  <c r="F44" i="13"/>
  <c r="E44" i="13"/>
  <c r="D44" i="13"/>
  <c r="C44" i="13"/>
  <c r="L43" i="13"/>
  <c r="O43" i="13" s="1"/>
  <c r="J43" i="13"/>
  <c r="I43" i="13"/>
  <c r="H43" i="13"/>
  <c r="G43" i="13"/>
  <c r="F43" i="13"/>
  <c r="E43" i="13"/>
  <c r="D43" i="13"/>
  <c r="C43" i="13"/>
  <c r="L42" i="13"/>
  <c r="O42" i="13" s="1"/>
  <c r="J42" i="13"/>
  <c r="I42" i="13"/>
  <c r="H42" i="13"/>
  <c r="G42" i="13"/>
  <c r="F42" i="13"/>
  <c r="E42" i="13"/>
  <c r="D42" i="13"/>
  <c r="C42" i="13"/>
  <c r="L41" i="13"/>
  <c r="O41" i="13" s="1"/>
  <c r="J41" i="13"/>
  <c r="I41" i="13"/>
  <c r="H41" i="13"/>
  <c r="G41" i="13"/>
  <c r="F41" i="13"/>
  <c r="E41" i="13"/>
  <c r="D41" i="13"/>
  <c r="C41" i="13"/>
  <c r="L40" i="13"/>
  <c r="O40" i="13" s="1"/>
  <c r="J40" i="13"/>
  <c r="I40" i="13"/>
  <c r="H40" i="13"/>
  <c r="G40" i="13"/>
  <c r="F40" i="13"/>
  <c r="E40" i="13"/>
  <c r="D40" i="13"/>
  <c r="C40" i="13"/>
  <c r="L39" i="13"/>
  <c r="O39" i="13" s="1"/>
  <c r="J39" i="13"/>
  <c r="I39" i="13"/>
  <c r="H39" i="13"/>
  <c r="G39" i="13"/>
  <c r="F39" i="13"/>
  <c r="E39" i="13"/>
  <c r="D39" i="13"/>
  <c r="C39" i="13"/>
  <c r="L38" i="13"/>
  <c r="O38" i="13" s="1"/>
  <c r="J38" i="13"/>
  <c r="I38" i="13"/>
  <c r="H38" i="13"/>
  <c r="G38" i="13"/>
  <c r="F38" i="13"/>
  <c r="E38" i="13"/>
  <c r="D38" i="13"/>
  <c r="C38" i="13"/>
  <c r="L37" i="13"/>
  <c r="O37" i="13" s="1"/>
  <c r="J37" i="13"/>
  <c r="I37" i="13"/>
  <c r="H37" i="13"/>
  <c r="G37" i="13"/>
  <c r="F37" i="13"/>
  <c r="E37" i="13"/>
  <c r="D37" i="13"/>
  <c r="C37" i="13"/>
  <c r="L36" i="13"/>
  <c r="O36" i="13" s="1"/>
  <c r="J36" i="13"/>
  <c r="I36" i="13"/>
  <c r="H36" i="13"/>
  <c r="G36" i="13"/>
  <c r="F36" i="13"/>
  <c r="E36" i="13"/>
  <c r="D36" i="13"/>
  <c r="C36" i="13"/>
  <c r="L35" i="13"/>
  <c r="O35" i="13" s="1"/>
  <c r="J35" i="13"/>
  <c r="I35" i="13"/>
  <c r="H35" i="13"/>
  <c r="G35" i="13"/>
  <c r="F35" i="13"/>
  <c r="E35" i="13"/>
  <c r="D35" i="13"/>
  <c r="C35" i="13"/>
  <c r="L34" i="13"/>
  <c r="O34" i="13" s="1"/>
  <c r="J34" i="13"/>
  <c r="I34" i="13"/>
  <c r="H34" i="13"/>
  <c r="G34" i="13"/>
  <c r="F34" i="13"/>
  <c r="E34" i="13"/>
  <c r="D34" i="13"/>
  <c r="C34" i="13"/>
  <c r="L33" i="13"/>
  <c r="O33" i="13" s="1"/>
  <c r="J33" i="13"/>
  <c r="I33" i="13"/>
  <c r="H33" i="13"/>
  <c r="G33" i="13"/>
  <c r="F33" i="13"/>
  <c r="E33" i="13"/>
  <c r="D33" i="13"/>
  <c r="C33" i="13"/>
  <c r="L32" i="13"/>
  <c r="O32" i="13" s="1"/>
  <c r="J32" i="13"/>
  <c r="I32" i="13"/>
  <c r="H32" i="13"/>
  <c r="G32" i="13"/>
  <c r="F32" i="13"/>
  <c r="E32" i="13"/>
  <c r="D32" i="13"/>
  <c r="C32" i="13"/>
  <c r="L31" i="13"/>
  <c r="O31" i="13" s="1"/>
  <c r="J31" i="13"/>
  <c r="I31" i="13"/>
  <c r="H31" i="13"/>
  <c r="G31" i="13"/>
  <c r="F31" i="13"/>
  <c r="E31" i="13"/>
  <c r="D31" i="13"/>
  <c r="C31" i="13"/>
  <c r="O23" i="13"/>
  <c r="F23" i="13"/>
  <c r="E23" i="13"/>
  <c r="C23" i="13"/>
  <c r="O22" i="13"/>
  <c r="F22" i="13"/>
  <c r="E22" i="13"/>
  <c r="C22" i="13"/>
  <c r="O21" i="13"/>
  <c r="F21" i="13"/>
  <c r="E21" i="13"/>
  <c r="C21" i="13"/>
  <c r="O20" i="13"/>
  <c r="F20" i="13"/>
  <c r="E20" i="13"/>
  <c r="C20" i="13"/>
  <c r="O19" i="13"/>
  <c r="F19" i="13"/>
  <c r="E19" i="13"/>
  <c r="C19" i="13"/>
  <c r="F18" i="13"/>
  <c r="E18" i="13"/>
  <c r="C18" i="13"/>
  <c r="F17" i="13"/>
  <c r="E17" i="13"/>
  <c r="C17" i="13"/>
  <c r="F16" i="13"/>
  <c r="E16" i="13"/>
  <c r="C16" i="13"/>
  <c r="F15" i="13"/>
  <c r="E15" i="13"/>
  <c r="C15" i="13"/>
  <c r="F14" i="13"/>
  <c r="E14" i="13"/>
  <c r="C14" i="13"/>
  <c r="F13" i="13"/>
  <c r="E13" i="13"/>
  <c r="C13" i="13"/>
  <c r="F12" i="13"/>
  <c r="E12" i="13"/>
  <c r="D12" i="13"/>
  <c r="C12" i="13"/>
  <c r="M5" i="13"/>
  <c r="K67" i="13" s="1"/>
  <c r="L5" i="13"/>
  <c r="M17" i="13" l="1"/>
  <c r="M27" i="13"/>
  <c r="M25" i="13"/>
  <c r="M28" i="13"/>
  <c r="N28" i="13"/>
  <c r="N26" i="13"/>
  <c r="N25" i="13"/>
  <c r="N27" i="13"/>
  <c r="N24" i="13"/>
  <c r="N17" i="13"/>
  <c r="K41" i="13"/>
  <c r="M41" i="13" s="1"/>
  <c r="K57" i="13"/>
  <c r="M57" i="13" s="1"/>
  <c r="K45" i="13"/>
  <c r="M45" i="13" s="1"/>
  <c r="K61" i="13"/>
  <c r="M61" i="13" s="1"/>
  <c r="K37" i="13"/>
  <c r="M37" i="13" s="1"/>
  <c r="K53" i="13"/>
  <c r="M53" i="13" s="1"/>
  <c r="K33" i="13"/>
  <c r="M33" i="13" s="1"/>
  <c r="K49" i="13"/>
  <c r="M49" i="13" s="1"/>
  <c r="K65" i="13"/>
  <c r="M65" i="13" s="1"/>
  <c r="N67" i="13"/>
  <c r="M67" i="13"/>
  <c r="K12" i="13"/>
  <c r="K13" i="13"/>
  <c r="K14" i="13"/>
  <c r="K15" i="13"/>
  <c r="K16" i="13"/>
  <c r="K32" i="13"/>
  <c r="K36" i="13"/>
  <c r="K40" i="13"/>
  <c r="K44" i="13"/>
  <c r="K48" i="13"/>
  <c r="K52" i="13"/>
  <c r="K56" i="13"/>
  <c r="K60" i="13"/>
  <c r="K64" i="13"/>
  <c r="K68" i="13"/>
  <c r="K34" i="13"/>
  <c r="K38" i="13"/>
  <c r="K42" i="13"/>
  <c r="K46" i="13"/>
  <c r="K50" i="13"/>
  <c r="K54" i="13"/>
  <c r="K58" i="13"/>
  <c r="K62" i="13"/>
  <c r="K66" i="13"/>
  <c r="K18" i="13"/>
  <c r="K19" i="13"/>
  <c r="K20" i="13"/>
  <c r="K21" i="13"/>
  <c r="K22" i="13"/>
  <c r="K23" i="13"/>
  <c r="K31" i="13"/>
  <c r="K35" i="13"/>
  <c r="K39" i="13"/>
  <c r="K43" i="13"/>
  <c r="K47" i="13"/>
  <c r="K51" i="13"/>
  <c r="K55" i="13"/>
  <c r="K59" i="13"/>
  <c r="K63" i="13"/>
  <c r="N45" i="13" l="1"/>
  <c r="N57" i="13"/>
  <c r="N49" i="13"/>
  <c r="N53" i="13"/>
  <c r="N65" i="13"/>
  <c r="N37" i="13"/>
  <c r="N41" i="13"/>
  <c r="N33" i="13"/>
  <c r="N61" i="13"/>
  <c r="N39" i="13"/>
  <c r="M39" i="13"/>
  <c r="N66" i="13"/>
  <c r="M66" i="13"/>
  <c r="M34" i="13"/>
  <c r="N34" i="13"/>
  <c r="N56" i="13"/>
  <c r="M56" i="13"/>
  <c r="N40" i="13"/>
  <c r="M40" i="13"/>
  <c r="N32" i="13"/>
  <c r="M32" i="13"/>
  <c r="N13" i="13"/>
  <c r="M13" i="13"/>
  <c r="N51" i="13"/>
  <c r="M51" i="13"/>
  <c r="M35" i="13"/>
  <c r="N35" i="13"/>
  <c r="N20" i="13"/>
  <c r="M20" i="13"/>
  <c r="M62" i="13"/>
  <c r="N62" i="13"/>
  <c r="M46" i="13"/>
  <c r="N46" i="13"/>
  <c r="N16" i="13"/>
  <c r="M16" i="13"/>
  <c r="M12" i="13"/>
  <c r="N12" i="13"/>
  <c r="M50" i="13"/>
  <c r="N50" i="13"/>
  <c r="N48" i="13"/>
  <c r="M48" i="13"/>
  <c r="N63" i="13"/>
  <c r="M63" i="13"/>
  <c r="N47" i="13"/>
  <c r="M47" i="13"/>
  <c r="N31" i="13"/>
  <c r="M31" i="13"/>
  <c r="N23" i="13"/>
  <c r="M23" i="13"/>
  <c r="N19" i="13"/>
  <c r="M19" i="13"/>
  <c r="M58" i="13"/>
  <c r="N58" i="13"/>
  <c r="N42" i="13"/>
  <c r="M42" i="13"/>
  <c r="N68" i="13"/>
  <c r="M68" i="13"/>
  <c r="N60" i="13"/>
  <c r="M60" i="13"/>
  <c r="N52" i="13"/>
  <c r="M52" i="13"/>
  <c r="N44" i="13"/>
  <c r="M44" i="13"/>
  <c r="N36" i="13"/>
  <c r="M36" i="13"/>
  <c r="M15" i="13"/>
  <c r="N15" i="13"/>
  <c r="M55" i="13"/>
  <c r="N55" i="13"/>
  <c r="N21" i="13"/>
  <c r="M21" i="13"/>
  <c r="N64" i="13"/>
  <c r="M64" i="13"/>
  <c r="M59" i="13"/>
  <c r="N59" i="13"/>
  <c r="N43" i="13"/>
  <c r="M43" i="13"/>
  <c r="N22" i="13"/>
  <c r="M22" i="13"/>
  <c r="M18" i="13"/>
  <c r="N18" i="13"/>
  <c r="N54" i="13"/>
  <c r="M54" i="13"/>
  <c r="N38" i="13"/>
  <c r="M38" i="13"/>
  <c r="N14" i="13"/>
  <c r="M14" i="13"/>
  <c r="U60" i="1"/>
  <c r="U59" i="1"/>
  <c r="J72" i="13" l="1"/>
  <c r="H72" i="13"/>
  <c r="L71" i="13"/>
  <c r="E57" i="1"/>
  <c r="L72" i="13" l="1"/>
  <c r="O72" i="13" s="1"/>
  <c r="S62" i="1"/>
  <c r="S61" i="1"/>
  <c r="S60" i="1"/>
  <c r="S59" i="1"/>
  <c r="S58" i="1"/>
  <c r="S57" i="1"/>
  <c r="S25" i="1"/>
  <c r="S46" i="1"/>
  <c r="S45" i="1"/>
  <c r="H66" i="1" l="1"/>
  <c r="G66" i="1"/>
  <c r="V63" i="1"/>
  <c r="D27" i="13" s="1"/>
  <c r="S63" i="1"/>
  <c r="U63" i="1" s="1"/>
  <c r="I63" i="1"/>
  <c r="E63" i="1"/>
  <c r="V56" i="1"/>
  <c r="S56" i="1"/>
  <c r="T56" i="1" s="1"/>
  <c r="U56" i="1" s="1"/>
  <c r="I56" i="1"/>
  <c r="E56" i="1"/>
  <c r="V55" i="1"/>
  <c r="S55" i="1"/>
  <c r="I55" i="1"/>
  <c r="E55" i="1"/>
  <c r="V54" i="1"/>
  <c r="S54" i="1"/>
  <c r="I54" i="1"/>
  <c r="E54" i="1"/>
  <c r="V53" i="1"/>
  <c r="S53" i="1"/>
  <c r="I53" i="1"/>
  <c r="E53" i="1"/>
  <c r="V52" i="1"/>
  <c r="S52" i="1"/>
  <c r="I52" i="1"/>
  <c r="E52" i="1"/>
  <c r="V51" i="1"/>
  <c r="S51" i="1"/>
  <c r="I51" i="1"/>
  <c r="E51" i="1"/>
  <c r="V50" i="1"/>
  <c r="S50" i="1"/>
  <c r="I50" i="1"/>
  <c r="E50" i="1"/>
  <c r="V49" i="1"/>
  <c r="S49" i="1"/>
  <c r="I49" i="1"/>
  <c r="E49" i="1"/>
  <c r="V48" i="1"/>
  <c r="S48" i="1"/>
  <c r="I48" i="1"/>
  <c r="E48" i="1"/>
  <c r="V47" i="1"/>
  <c r="S47" i="1"/>
  <c r="I47" i="1"/>
  <c r="E47" i="1"/>
  <c r="V46" i="1"/>
  <c r="I46" i="1"/>
  <c r="E46" i="1"/>
  <c r="V45" i="1"/>
  <c r="I45" i="1"/>
  <c r="E45" i="1"/>
  <c r="V44" i="1"/>
  <c r="S44" i="1"/>
  <c r="I44" i="1"/>
  <c r="E44" i="1"/>
  <c r="V43" i="1"/>
  <c r="D18" i="13" s="1"/>
  <c r="S43" i="1"/>
  <c r="I43" i="1"/>
  <c r="E43" i="1"/>
  <c r="V42" i="1"/>
  <c r="S42" i="1"/>
  <c r="I42" i="1"/>
  <c r="E42" i="1"/>
  <c r="V41" i="1"/>
  <c r="S41" i="1"/>
  <c r="I41" i="1"/>
  <c r="E41" i="1"/>
  <c r="V40" i="1"/>
  <c r="S40" i="1"/>
  <c r="I40" i="1"/>
  <c r="E40" i="1"/>
  <c r="V39" i="1"/>
  <c r="S39" i="1"/>
  <c r="I39" i="1"/>
  <c r="E39" i="1"/>
  <c r="V38" i="1"/>
  <c r="D22" i="13" s="1"/>
  <c r="S38" i="1"/>
  <c r="I38" i="1"/>
  <c r="E38" i="1"/>
  <c r="V37" i="1"/>
  <c r="S37" i="1"/>
  <c r="I37" i="1"/>
  <c r="E37" i="1"/>
  <c r="V36" i="1"/>
  <c r="S36" i="1"/>
  <c r="I36" i="1"/>
  <c r="E36" i="1"/>
  <c r="V35" i="1"/>
  <c r="S35" i="1"/>
  <c r="I35" i="1"/>
  <c r="E35" i="1"/>
  <c r="V34" i="1"/>
  <c r="S34" i="1"/>
  <c r="I34" i="1"/>
  <c r="E34" i="1"/>
  <c r="V33" i="1"/>
  <c r="S33" i="1"/>
  <c r="I33" i="1"/>
  <c r="E33" i="1"/>
  <c r="V32" i="1"/>
  <c r="D19" i="13" s="1"/>
  <c r="S32" i="1"/>
  <c r="I32" i="1"/>
  <c r="E32" i="1"/>
  <c r="V31" i="1"/>
  <c r="D21" i="13" s="1"/>
  <c r="S31" i="1"/>
  <c r="I31" i="1"/>
  <c r="E31" i="1"/>
  <c r="V30" i="1"/>
  <c r="D28" i="13" s="1"/>
  <c r="S30" i="1"/>
  <c r="I30" i="1"/>
  <c r="E30" i="1"/>
  <c r="V29" i="1"/>
  <c r="S29" i="1"/>
  <c r="I29" i="1"/>
  <c r="E29" i="1"/>
  <c r="V28" i="1"/>
  <c r="S28" i="1"/>
  <c r="I28" i="1"/>
  <c r="E28" i="1"/>
  <c r="V27" i="1"/>
  <c r="S27" i="1"/>
  <c r="I27" i="1"/>
  <c r="E27" i="1"/>
  <c r="V26" i="1"/>
  <c r="D20" i="13" s="1"/>
  <c r="S26" i="1"/>
  <c r="I26" i="1"/>
  <c r="E26" i="1"/>
  <c r="V25" i="1"/>
  <c r="I25" i="1"/>
  <c r="U25" i="1" s="1"/>
  <c r="E25" i="1"/>
  <c r="V24" i="1"/>
  <c r="D17" i="13" s="1"/>
  <c r="S24" i="1"/>
  <c r="I24" i="1"/>
  <c r="E24" i="1"/>
  <c r="V23" i="1"/>
  <c r="S23" i="1"/>
  <c r="I23" i="1"/>
  <c r="E23" i="1"/>
  <c r="V22" i="1"/>
  <c r="S22" i="1"/>
  <c r="I22" i="1"/>
  <c r="E22" i="1"/>
  <c r="V21" i="1"/>
  <c r="S21" i="1"/>
  <c r="I21" i="1"/>
  <c r="E21" i="1"/>
  <c r="V20" i="1"/>
  <c r="S20" i="1"/>
  <c r="I20" i="1"/>
  <c r="E20" i="1"/>
  <c r="V19" i="1"/>
  <c r="S19" i="1"/>
  <c r="I19" i="1"/>
  <c r="E19" i="1"/>
  <c r="V18" i="1"/>
  <c r="S18" i="1"/>
  <c r="I18" i="1"/>
  <c r="E18" i="1"/>
  <c r="V17" i="1"/>
  <c r="S17" i="1"/>
  <c r="I17" i="1"/>
  <c r="E17" i="1"/>
  <c r="V16" i="1"/>
  <c r="S16" i="1"/>
  <c r="I16" i="1"/>
  <c r="E16" i="1"/>
  <c r="V15" i="1"/>
  <c r="S15" i="1"/>
  <c r="I15" i="1"/>
  <c r="E15" i="1"/>
  <c r="V14" i="1"/>
  <c r="S14" i="1"/>
  <c r="I14" i="1"/>
  <c r="E14" i="1"/>
  <c r="V13" i="1"/>
  <c r="S13" i="1"/>
  <c r="I13" i="1"/>
  <c r="E13" i="1"/>
  <c r="V12" i="1"/>
  <c r="S12" i="1"/>
  <c r="I12" i="1"/>
  <c r="E12" i="1"/>
  <c r="D23" i="13" l="1"/>
  <c r="T33" i="1"/>
  <c r="U33" i="1" s="1"/>
  <c r="U52" i="1"/>
  <c r="U53" i="1"/>
  <c r="U54" i="1"/>
  <c r="T55" i="1"/>
  <c r="U55" i="1" s="1"/>
  <c r="U12" i="1"/>
  <c r="U13" i="1"/>
  <c r="U17" i="1"/>
  <c r="T18" i="1"/>
  <c r="U18" i="1" s="1"/>
  <c r="T19" i="1"/>
  <c r="U19" i="1" s="1"/>
  <c r="U20" i="1"/>
  <c r="U22" i="1"/>
  <c r="U41" i="1"/>
  <c r="U23" i="1"/>
  <c r="U26" i="1"/>
  <c r="U27" i="1"/>
  <c r="U28" i="1"/>
  <c r="U29" i="1"/>
  <c r="U31" i="1"/>
  <c r="U32" i="1"/>
  <c r="U51" i="1"/>
  <c r="T34" i="1"/>
  <c r="U34" i="1" s="1"/>
  <c r="U36" i="1"/>
  <c r="U37" i="1"/>
  <c r="U40" i="1"/>
  <c r="U42" i="1"/>
  <c r="U44" i="1"/>
  <c r="U45" i="1"/>
  <c r="U48" i="1"/>
  <c r="U38" i="1"/>
  <c r="U15" i="1"/>
  <c r="U21" i="1"/>
  <c r="U30" i="1"/>
  <c r="V68" i="1"/>
  <c r="U46" i="1"/>
  <c r="U50" i="1"/>
  <c r="U16" i="1"/>
  <c r="T24" i="1"/>
  <c r="U24" i="1" s="1"/>
  <c r="U39" i="1"/>
  <c r="U49" i="1"/>
  <c r="U14" i="1" l="1"/>
  <c r="U47" i="1"/>
  <c r="U43" i="1"/>
  <c r="U35" i="1"/>
  <c r="V66" i="1"/>
  <c r="V67" i="1"/>
  <c r="V69" i="1"/>
  <c r="V70" i="1" l="1"/>
  <c r="V71" i="1"/>
</calcChain>
</file>

<file path=xl/comments1.xml><?xml version="1.0" encoding="utf-8"?>
<comments xmlns="http://schemas.openxmlformats.org/spreadsheetml/2006/main">
  <authors>
    <author/>
  </authors>
  <commentList>
    <comment ref="H14" authorId="0" shapeId="0">
      <text>
        <r>
          <rPr>
            <sz val="10"/>
            <color rgb="FF000000"/>
            <rFont val="Arial"/>
            <family val="2"/>
          </rPr>
          <t>Anci..ovdje nam je isto greska..12.5+5 po formuli dobroj ispadne opet 12.5
	-marina radulj
hmmm...to je jer je ogranicenje 10 ne sabira ako nisu polozili sa 51 %...to bismo morali utvrditi sa kolegama jednom za svagda :)
	-marina radulj</t>
        </r>
      </text>
    </comment>
  </commentList>
</comments>
</file>

<file path=xl/sharedStrings.xml><?xml version="1.0" encoding="utf-8"?>
<sst xmlns="http://schemas.openxmlformats.org/spreadsheetml/2006/main" count="346" uniqueCount="206">
  <si>
    <t>АРХИТЕКТОНСКО ПРОЈЕКТОВАЊЕ 6</t>
  </si>
  <si>
    <t>Универзитет у Бањој Луци</t>
  </si>
  <si>
    <t>Факултет:</t>
  </si>
  <si>
    <t>Архитектонско-грађевинско-геодетски факултет</t>
  </si>
  <si>
    <t>шк</t>
  </si>
  <si>
    <t>Архитектонско пројектовање 6</t>
  </si>
  <si>
    <t>Студијски програм_Архитектура</t>
  </si>
  <si>
    <t>Студијски програм:</t>
  </si>
  <si>
    <t>Aрхитектура</t>
  </si>
  <si>
    <t>обавезни</t>
  </si>
  <si>
    <t xml:space="preserve">шифра предмета: </t>
  </si>
  <si>
    <t>доц. др Марина Радуљ</t>
  </si>
  <si>
    <t xml:space="preserve">Датум завршног испита: </t>
  </si>
  <si>
    <t>наставник: доц. др Марина Радуљ</t>
  </si>
  <si>
    <t>јан/феб I</t>
  </si>
  <si>
    <t>јан/феб II</t>
  </si>
  <si>
    <t>Индекс</t>
  </si>
  <si>
    <t>Презиме и име</t>
  </si>
  <si>
    <t>Присуство</t>
  </si>
  <si>
    <t>Графички елаборат (макс. 15)</t>
  </si>
  <si>
    <t>ЗАПИСНИК О ОДРЖАНОМ ИСПИТУ</t>
  </si>
  <si>
    <t>редни број</t>
  </si>
  <si>
    <t>Колоквијум 01 (макс. 20)</t>
  </si>
  <si>
    <t>индекс</t>
  </si>
  <si>
    <t>статус</t>
  </si>
  <si>
    <t>број пријава</t>
  </si>
  <si>
    <t>Колоквијум 02 (макс. 20)</t>
  </si>
  <si>
    <t>Колоквијум укупно</t>
  </si>
  <si>
    <t>презиме и име</t>
  </si>
  <si>
    <t>графички рад</t>
  </si>
  <si>
    <t>колоквијум 1</t>
  </si>
  <si>
    <t>колоквијум 2</t>
  </si>
  <si>
    <t>испит</t>
  </si>
  <si>
    <t>укупно</t>
  </si>
  <si>
    <t>коначна оцјена</t>
  </si>
  <si>
    <t>Укупно         (мин. 51)</t>
  </si>
  <si>
    <t>КОНАЧНА ОЦЈЕНА</t>
  </si>
  <si>
    <t>бодови</t>
  </si>
  <si>
    <t>датум</t>
  </si>
  <si>
    <t>С просјек</t>
  </si>
  <si>
    <t>O просјек</t>
  </si>
  <si>
    <t>Број пријаве</t>
  </si>
  <si>
    <t>Статус</t>
  </si>
  <si>
    <t>апр</t>
  </si>
  <si>
    <t>јун/јул I</t>
  </si>
  <si>
    <t>јун/јул II</t>
  </si>
  <si>
    <t>сеп I</t>
  </si>
  <si>
    <t>сеп II</t>
  </si>
  <si>
    <t>окт I</t>
  </si>
  <si>
    <t>окт II</t>
  </si>
  <si>
    <t xml:space="preserve">испит </t>
  </si>
  <si>
    <t>19.11.2016.</t>
  </si>
  <si>
    <t>24.12.2016.</t>
  </si>
  <si>
    <t>1</t>
  </si>
  <si>
    <t>2</t>
  </si>
  <si>
    <t>3</t>
  </si>
  <si>
    <t>6</t>
  </si>
  <si>
    <t>7</t>
  </si>
  <si>
    <t>8</t>
  </si>
  <si>
    <t>9</t>
  </si>
  <si>
    <t>С</t>
  </si>
  <si>
    <t>x</t>
  </si>
  <si>
    <t>?</t>
  </si>
  <si>
    <t>Ђумић Аљоша</t>
  </si>
  <si>
    <t>Д</t>
  </si>
  <si>
    <t>А</t>
  </si>
  <si>
    <t>УПИСАНО</t>
  </si>
  <si>
    <t>Б</t>
  </si>
  <si>
    <t>НИСУ СТЕКЛИ УСЛОВ</t>
  </si>
  <si>
    <t>Ц</t>
  </si>
  <si>
    <t>НИСУ ПРИСТУПИЛИ ИСПИТУ</t>
  </si>
  <si>
    <t>ПРИСТУПИЛИ ИСПИТУ</t>
  </si>
  <si>
    <t>Е</t>
  </si>
  <si>
    <t>ПОЛОЖИЛИ</t>
  </si>
  <si>
    <t>Ф</t>
  </si>
  <si>
    <t>НИСУ ПОЛОЖИЛИ (Д-Е)</t>
  </si>
  <si>
    <t>Г</t>
  </si>
  <si>
    <t>НИСУ ПОЛОЖИЛИ (А-Б-Е)</t>
  </si>
  <si>
    <t>РЕКАПИТУЛАЦИЈА</t>
  </si>
  <si>
    <t>Приступило</t>
  </si>
  <si>
    <t>Положило</t>
  </si>
  <si>
    <t>Просјечна оцјена</t>
  </si>
  <si>
    <t>Слушало_редовни</t>
  </si>
  <si>
    <t>Слушало_обнова</t>
  </si>
  <si>
    <t>Потпис наставника:</t>
  </si>
  <si>
    <t>2016/2017</t>
  </si>
  <si>
    <t>сарадници: Анита Милаковић и Огњен Шукало</t>
  </si>
  <si>
    <t>ХАНГАР- центар за истраживање архитектуре</t>
  </si>
  <si>
    <t xml:space="preserve">Графички рад     (маx. 70) </t>
  </si>
  <si>
    <t>Испит (мин 26, макс. 30)</t>
  </si>
  <si>
    <t>2.2.2017.</t>
  </si>
  <si>
    <t>Ајановић Еди</t>
  </si>
  <si>
    <t>Благојевић Дејан</t>
  </si>
  <si>
    <t>Борић Милица</t>
  </si>
  <si>
    <t>Братић Теодора</t>
  </si>
  <si>
    <t>Бужанин Богдан</t>
  </si>
  <si>
    <t>Васиљевић Живко</t>
  </si>
  <si>
    <t>Вишекруна Маја</t>
  </si>
  <si>
    <t>Вуковић Ђорђе</t>
  </si>
  <si>
    <t>Ђукелић Бранислав</t>
  </si>
  <si>
    <t>Ђукелић Николина</t>
  </si>
  <si>
    <t>Ђурић Тина</t>
  </si>
  <si>
    <t>Илишковић Стефан</t>
  </si>
  <si>
    <t>Ињац Славица</t>
  </si>
  <si>
    <t>Јањић Јована</t>
  </si>
  <si>
    <t>Јевтовић Ања</t>
  </si>
  <si>
    <t>Јелисијевић Ана</t>
  </si>
  <si>
    <t>Касиповић Јована</t>
  </si>
  <si>
    <t>Кењић Маја</t>
  </si>
  <si>
    <t>Кнежевић Ивона</t>
  </si>
  <si>
    <t xml:space="preserve">Лакић Сара </t>
  </si>
  <si>
    <t>Лакић Срђан</t>
  </si>
  <si>
    <t xml:space="preserve">Лиздек Наташа </t>
  </si>
  <si>
    <t>Лукач Славиша</t>
  </si>
  <si>
    <t>Марић Милан</t>
  </si>
  <si>
    <t>Марковић Данијел</t>
  </si>
  <si>
    <t>Милановић Владана</t>
  </si>
  <si>
    <t>Милекић Гордана</t>
  </si>
  <si>
    <t>Миловановић Јована</t>
  </si>
  <si>
    <t>Млађеновић Александра</t>
  </si>
  <si>
    <t>Николић Александра</t>
  </si>
  <si>
    <t>Нишић Весна</t>
  </si>
  <si>
    <t xml:space="preserve">Папаз Дајана    </t>
  </si>
  <si>
    <t>Петровић Биљана</t>
  </si>
  <si>
    <t>Пећанац Јована</t>
  </si>
  <si>
    <t>Поповић Горан</t>
  </si>
  <si>
    <t>Премасунац Дарја</t>
  </si>
  <si>
    <t>Пушара Слободан</t>
  </si>
  <si>
    <t>Раилић Јована</t>
  </si>
  <si>
    <t>Рикало Миљана</t>
  </si>
  <si>
    <t>Ристић Стефан</t>
  </si>
  <si>
    <t>Родић Наташа</t>
  </si>
  <si>
    <t>Саламић Бошко</t>
  </si>
  <si>
    <t>Секуловић Ђорђе</t>
  </si>
  <si>
    <t xml:space="preserve">Скоко Арсеније </t>
  </si>
  <si>
    <t>Тадић Владимир</t>
  </si>
  <si>
    <t>Тешановић Милан</t>
  </si>
  <si>
    <t>Тица Биљана</t>
  </si>
  <si>
    <t>Ћетојевић Јелена</t>
  </si>
  <si>
    <t>Ћулибрк Илија</t>
  </si>
  <si>
    <t>Цвијовић Николина</t>
  </si>
  <si>
    <t>Шупић Николина</t>
  </si>
  <si>
    <t>ocjene</t>
  </si>
  <si>
    <t>5/6</t>
  </si>
  <si>
    <t>9/8</t>
  </si>
  <si>
    <t>5</t>
  </si>
  <si>
    <t>7/8</t>
  </si>
  <si>
    <t>8/9</t>
  </si>
  <si>
    <t>6/7</t>
  </si>
  <si>
    <t>17.2.2017.</t>
  </si>
  <si>
    <t>10/14</t>
  </si>
  <si>
    <t>03/14</t>
  </si>
  <si>
    <t>17/14</t>
  </si>
  <si>
    <t>01/14</t>
  </si>
  <si>
    <t>26/13</t>
  </si>
  <si>
    <t>30/13</t>
  </si>
  <si>
    <t>43/14</t>
  </si>
  <si>
    <t>21/14</t>
  </si>
  <si>
    <t>37/13</t>
  </si>
  <si>
    <t>44/13</t>
  </si>
  <si>
    <t>54/13</t>
  </si>
  <si>
    <t>28/14</t>
  </si>
  <si>
    <t>14/14</t>
  </si>
  <si>
    <t>27/14</t>
  </si>
  <si>
    <t>09/14</t>
  </si>
  <si>
    <t>19/14</t>
  </si>
  <si>
    <t>12/14</t>
  </si>
  <si>
    <t>11/14</t>
  </si>
  <si>
    <t>34/13</t>
  </si>
  <si>
    <t>48/13</t>
  </si>
  <si>
    <t>08/14</t>
  </si>
  <si>
    <t>38/14</t>
  </si>
  <si>
    <t>40/14</t>
  </si>
  <si>
    <t>06/14</t>
  </si>
  <si>
    <t>35/14</t>
  </si>
  <si>
    <t>36/14</t>
  </si>
  <si>
    <t>20/14</t>
  </si>
  <si>
    <t>30/14</t>
  </si>
  <si>
    <t>34/14</t>
  </si>
  <si>
    <t>33/14</t>
  </si>
  <si>
    <t>07/14</t>
  </si>
  <si>
    <t>40/13</t>
  </si>
  <si>
    <t>03/13</t>
  </si>
  <si>
    <t>02/13</t>
  </si>
  <si>
    <t>19/13</t>
  </si>
  <si>
    <t>30/11</t>
  </si>
  <si>
    <t>33/13</t>
  </si>
  <si>
    <t>10/13</t>
  </si>
  <si>
    <t>06/12</t>
  </si>
  <si>
    <t>12/13</t>
  </si>
  <si>
    <t>07/13</t>
  </si>
  <si>
    <t>27/13</t>
  </si>
  <si>
    <t>45/12</t>
  </si>
  <si>
    <t>38/13</t>
  </si>
  <si>
    <t>69/11</t>
  </si>
  <si>
    <t>15/13</t>
  </si>
  <si>
    <t>16/13</t>
  </si>
  <si>
    <t>10/12</t>
  </si>
  <si>
    <t>09/12</t>
  </si>
  <si>
    <t>33/12</t>
  </si>
  <si>
    <t>24/12</t>
  </si>
  <si>
    <t>18.4.2017.</t>
  </si>
  <si>
    <t>15.6.17.</t>
  </si>
  <si>
    <t>29.6.17.</t>
  </si>
  <si>
    <t>43/13</t>
  </si>
  <si>
    <t>5/Ф (није положио)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</si>
</sst>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\."/>
  </numFmts>
  <fonts count="36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FFFF"/>
      <name val="Arial"/>
      <family val="2"/>
    </font>
    <font>
      <sz val="6"/>
      <color rgb="FFFFFFFF"/>
      <name val="Arial"/>
      <family val="2"/>
    </font>
    <font>
      <b/>
      <sz val="6"/>
      <color rgb="FFFFFFFF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rgb="FF808080"/>
      </patternFill>
    </fill>
    <fill>
      <patternFill patternType="solid">
        <fgColor theme="2"/>
        <bgColor rgb="FFB7B7B7"/>
      </patternFill>
    </fill>
    <fill>
      <patternFill patternType="solid">
        <fgColor theme="2"/>
        <bgColor rgb="FFFFFF00"/>
      </patternFill>
    </fill>
    <fill>
      <patternFill patternType="solid">
        <fgColor theme="4" tint="0.59999389629810485"/>
        <bgColor rgb="FF00CCFF"/>
      </patternFill>
    </fill>
    <fill>
      <patternFill patternType="solid">
        <fgColor theme="4" tint="0.59999389629810485"/>
        <bgColor rgb="FF99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rgb="FFFFCC00"/>
      </patternFill>
    </fill>
    <fill>
      <patternFill patternType="solid">
        <fgColor theme="4" tint="0.59999389629810485"/>
        <bgColor rgb="FF666666"/>
      </patternFill>
    </fill>
    <fill>
      <patternFill patternType="solid">
        <fgColor theme="9" tint="0.59999389629810485"/>
        <bgColor rgb="FF80808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49" fontId="15" fillId="8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164" fontId="17" fillId="8" borderId="3" xfId="0" applyNumberFormat="1" applyFont="1" applyFill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2" fillId="10" borderId="2" xfId="0" applyNumberFormat="1" applyFont="1" applyFill="1" applyBorder="1" applyAlignment="1">
      <alignment horizontal="center" vertical="center" wrapText="1"/>
    </xf>
    <xf numFmtId="164" fontId="17" fillId="11" borderId="3" xfId="0" applyNumberFormat="1" applyFont="1" applyFill="1" applyBorder="1" applyAlignment="1">
      <alignment horizontal="center" vertical="center" wrapText="1"/>
    </xf>
    <xf numFmtId="164" fontId="17" fillId="11" borderId="2" xfId="0" applyNumberFormat="1" applyFont="1" applyFill="1" applyBorder="1" applyAlignment="1">
      <alignment horizontal="center" vertical="center" wrapText="1"/>
    </xf>
    <xf numFmtId="2" fontId="2" fillId="11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/>
    </xf>
    <xf numFmtId="164" fontId="17" fillId="10" borderId="3" xfId="0" applyNumberFormat="1" applyFont="1" applyFill="1" applyBorder="1" applyAlignment="1">
      <alignment horizontal="center" vertical="center" wrapText="1"/>
    </xf>
    <xf numFmtId="164" fontId="17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 wrapText="1"/>
    </xf>
    <xf numFmtId="164" fontId="17" fillId="8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17" fillId="8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wrapText="1"/>
    </xf>
    <xf numFmtId="0" fontId="20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2" fillId="0" borderId="12" xfId="0" applyNumberFormat="1" applyFont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right" wrapText="1"/>
    </xf>
    <xf numFmtId="0" fontId="18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2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15" borderId="2" xfId="0" applyFont="1" applyFill="1" applyBorder="1" applyAlignment="1">
      <alignment vertical="center" wrapText="1"/>
    </xf>
    <xf numFmtId="0" fontId="7" fillId="15" borderId="2" xfId="0" applyFont="1" applyFill="1" applyBorder="1" applyAlignment="1">
      <alignment vertical="center" wrapText="1"/>
    </xf>
    <xf numFmtId="0" fontId="25" fillId="12" borderId="2" xfId="0" applyFont="1" applyFill="1" applyBorder="1" applyAlignment="1">
      <alignment horizontal="center" vertical="center" wrapText="1"/>
    </xf>
    <xf numFmtId="2" fontId="7" fillId="12" borderId="2" xfId="0" applyNumberFormat="1" applyFont="1" applyFill="1" applyBorder="1" applyAlignment="1">
      <alignment horizontal="right" vertical="center" wrapText="1"/>
    </xf>
    <xf numFmtId="2" fontId="7" fillId="18" borderId="3" xfId="0" applyNumberFormat="1" applyFont="1" applyFill="1" applyBorder="1" applyAlignment="1">
      <alignment horizontal="center" wrapText="1"/>
    </xf>
    <xf numFmtId="2" fontId="7" fillId="13" borderId="3" xfId="0" applyNumberFormat="1" applyFont="1" applyFill="1" applyBorder="1" applyAlignment="1">
      <alignment horizontal="center" wrapText="1"/>
    </xf>
    <xf numFmtId="2" fontId="7" fillId="14" borderId="3" xfId="0" applyNumberFormat="1" applyFont="1" applyFill="1" applyBorder="1" applyAlignment="1">
      <alignment horizontal="center" wrapText="1"/>
    </xf>
    <xf numFmtId="49" fontId="27" fillId="12" borderId="2" xfId="0" applyNumberFormat="1" applyFont="1" applyFill="1" applyBorder="1" applyAlignment="1">
      <alignment horizontal="center" vertical="center" wrapText="1"/>
    </xf>
    <xf numFmtId="2" fontId="28" fillId="12" borderId="2" xfId="0" applyNumberFormat="1" applyFont="1" applyFill="1" applyBorder="1" applyAlignment="1">
      <alignment horizontal="center"/>
    </xf>
    <xf numFmtId="2" fontId="28" fillId="13" borderId="2" xfId="0" applyNumberFormat="1" applyFont="1" applyFill="1" applyBorder="1" applyAlignment="1">
      <alignment horizontal="center"/>
    </xf>
    <xf numFmtId="2" fontId="28" fillId="14" borderId="2" xfId="0" applyNumberFormat="1" applyFont="1" applyFill="1" applyBorder="1" applyAlignment="1">
      <alignment horizontal="center"/>
    </xf>
    <xf numFmtId="2" fontId="28" fillId="12" borderId="9" xfId="0" applyNumberFormat="1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2" fontId="24" fillId="19" borderId="2" xfId="0" applyNumberFormat="1" applyFont="1" applyFill="1" applyBorder="1" applyAlignment="1">
      <alignment horizontal="center" vertical="center" wrapText="1"/>
    </xf>
    <xf numFmtId="0" fontId="26" fillId="20" borderId="4" xfId="0" applyFont="1" applyFill="1" applyBorder="1" applyAlignment="1">
      <alignment vertical="center" wrapText="1"/>
    </xf>
    <xf numFmtId="0" fontId="24" fillId="20" borderId="4" xfId="0" applyFont="1" applyFill="1" applyBorder="1" applyAlignment="1">
      <alignment vertical="center" wrapText="1"/>
    </xf>
    <xf numFmtId="0" fontId="24" fillId="20" borderId="1" xfId="0" applyFont="1" applyFill="1" applyBorder="1" applyAlignment="1">
      <alignment vertical="center" wrapText="1"/>
    </xf>
    <xf numFmtId="0" fontId="25" fillId="20" borderId="1" xfId="0" applyFont="1" applyFill="1" applyBorder="1" applyAlignment="1">
      <alignment horizontal="center" vertical="center" wrapText="1"/>
    </xf>
    <xf numFmtId="49" fontId="29" fillId="20" borderId="2" xfId="0" applyNumberFormat="1" applyFont="1" applyFill="1" applyBorder="1" applyAlignment="1">
      <alignment horizontal="center" vertical="center" wrapText="1"/>
    </xf>
    <xf numFmtId="49" fontId="30" fillId="20" borderId="2" xfId="0" applyNumberFormat="1" applyFont="1" applyFill="1" applyBorder="1" applyAlignment="1">
      <alignment horizontal="center" vertical="center" wrapText="1"/>
    </xf>
    <xf numFmtId="49" fontId="30" fillId="20" borderId="3" xfId="0" applyNumberFormat="1" applyFont="1" applyFill="1" applyBorder="1" applyAlignment="1">
      <alignment horizontal="center" vertical="center" wrapText="1"/>
    </xf>
    <xf numFmtId="2" fontId="30" fillId="20" borderId="3" xfId="0" applyNumberFormat="1" applyFont="1" applyFill="1" applyBorder="1" applyAlignment="1">
      <alignment horizontal="center" vertical="center" wrapText="1"/>
    </xf>
    <xf numFmtId="49" fontId="29" fillId="20" borderId="3" xfId="0" applyNumberFormat="1" applyFont="1" applyFill="1" applyBorder="1" applyAlignment="1">
      <alignment horizontal="center" vertical="center" wrapText="1"/>
    </xf>
    <xf numFmtId="49" fontId="29" fillId="20" borderId="5" xfId="0" applyNumberFormat="1" applyFont="1" applyFill="1" applyBorder="1" applyAlignment="1">
      <alignment horizontal="center" vertical="center" wrapText="1"/>
    </xf>
    <xf numFmtId="49" fontId="27" fillId="20" borderId="2" xfId="0" applyNumberFormat="1" applyFont="1" applyFill="1" applyBorder="1" applyAlignment="1">
      <alignment horizontal="center" vertical="center" wrapText="1"/>
    </xf>
    <xf numFmtId="2" fontId="24" fillId="20" borderId="2" xfId="0" applyNumberFormat="1" applyFont="1" applyFill="1" applyBorder="1" applyAlignment="1">
      <alignment horizontal="right" vertical="center" wrapText="1"/>
    </xf>
    <xf numFmtId="49" fontId="30" fillId="20" borderId="1" xfId="0" applyNumberFormat="1" applyFont="1" applyFill="1" applyBorder="1" applyAlignment="1">
      <alignment horizontal="center" vertical="center" wrapText="1"/>
    </xf>
    <xf numFmtId="49" fontId="29" fillId="20" borderId="1" xfId="0" applyNumberFormat="1" applyFont="1" applyFill="1" applyBorder="1" applyAlignment="1">
      <alignment horizontal="center" vertical="center" wrapText="1"/>
    </xf>
    <xf numFmtId="49" fontId="27" fillId="20" borderId="1" xfId="0" applyNumberFormat="1" applyFont="1" applyFill="1" applyBorder="1" applyAlignment="1">
      <alignment horizontal="center" vertical="center" wrapText="1"/>
    </xf>
    <xf numFmtId="0" fontId="12" fillId="21" borderId="3" xfId="0" applyFont="1" applyFill="1" applyBorder="1" applyAlignment="1">
      <alignment horizontal="right" vertical="center" wrapText="1"/>
    </xf>
    <xf numFmtId="0" fontId="7" fillId="22" borderId="3" xfId="0" applyFont="1" applyFill="1" applyBorder="1" applyAlignment="1">
      <alignment horizontal="right" vertical="center" wrapText="1"/>
    </xf>
    <xf numFmtId="0" fontId="7" fillId="22" borderId="2" xfId="0" applyFont="1" applyFill="1" applyBorder="1" applyAlignment="1">
      <alignment horizontal="right" vertical="center" wrapText="1"/>
    </xf>
    <xf numFmtId="1" fontId="2" fillId="21" borderId="2" xfId="0" applyNumberFormat="1" applyFont="1" applyFill="1" applyBorder="1" applyAlignment="1">
      <alignment horizontal="right" vertical="center"/>
    </xf>
    <xf numFmtId="1" fontId="2" fillId="23" borderId="2" xfId="0" applyNumberFormat="1" applyFont="1" applyFill="1" applyBorder="1" applyAlignment="1">
      <alignment horizontal="right" vertical="center"/>
    </xf>
    <xf numFmtId="1" fontId="2" fillId="24" borderId="2" xfId="0" applyNumberFormat="1" applyFont="1" applyFill="1" applyBorder="1" applyAlignment="1">
      <alignment horizontal="right" vertical="center"/>
    </xf>
    <xf numFmtId="1" fontId="2" fillId="21" borderId="9" xfId="0" applyNumberFormat="1" applyFont="1" applyFill="1" applyBorder="1" applyAlignment="1">
      <alignment horizontal="right" vertical="center"/>
    </xf>
    <xf numFmtId="0" fontId="7" fillId="26" borderId="2" xfId="0" applyFont="1" applyFill="1" applyBorder="1" applyAlignment="1">
      <alignment horizontal="right" vertical="center" wrapText="1"/>
    </xf>
    <xf numFmtId="1" fontId="7" fillId="25" borderId="3" xfId="0" applyNumberFormat="1" applyFont="1" applyFill="1" applyBorder="1" applyAlignment="1">
      <alignment horizontal="right"/>
    </xf>
    <xf numFmtId="1" fontId="7" fillId="27" borderId="3" xfId="0" applyNumberFormat="1" applyFont="1" applyFill="1" applyBorder="1" applyAlignment="1">
      <alignment horizontal="right"/>
    </xf>
    <xf numFmtId="1" fontId="7" fillId="28" borderId="3" xfId="0" applyNumberFormat="1" applyFont="1" applyFill="1" applyBorder="1" applyAlignment="1">
      <alignment horizontal="right"/>
    </xf>
    <xf numFmtId="1" fontId="7" fillId="25" borderId="10" xfId="0" applyNumberFormat="1" applyFont="1" applyFill="1" applyBorder="1" applyAlignment="1">
      <alignment horizontal="right"/>
    </xf>
    <xf numFmtId="0" fontId="7" fillId="25" borderId="2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0" fillId="29" borderId="2" xfId="0" applyNumberFormat="1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right" vertical="center" wrapText="1"/>
    </xf>
    <xf numFmtId="0" fontId="32" fillId="0" borderId="14" xfId="0" applyFont="1" applyBorder="1"/>
    <xf numFmtId="0" fontId="33" fillId="0" borderId="14" xfId="0" applyFont="1" applyBorder="1"/>
    <xf numFmtId="0" fontId="33" fillId="0" borderId="14" xfId="0" applyFont="1" applyFill="1" applyBorder="1"/>
    <xf numFmtId="0" fontId="34" fillId="0" borderId="14" xfId="0" applyFont="1" applyBorder="1"/>
    <xf numFmtId="0" fontId="0" fillId="0" borderId="14" xfId="0" applyBorder="1" applyAlignment="1">
      <alignment horizontal="center"/>
    </xf>
    <xf numFmtId="0" fontId="32" fillId="31" borderId="14" xfId="0" applyFont="1" applyFill="1" applyBorder="1"/>
    <xf numFmtId="49" fontId="0" fillId="0" borderId="14" xfId="0" applyNumberFormat="1" applyBorder="1" applyAlignment="1">
      <alignment horizontal="center"/>
    </xf>
    <xf numFmtId="49" fontId="0" fillId="30" borderId="14" xfId="0" applyNumberFormat="1" applyFill="1" applyBorder="1" applyAlignment="1">
      <alignment horizontal="center"/>
    </xf>
    <xf numFmtId="0" fontId="31" fillId="30" borderId="0" xfId="0" applyFont="1" applyFill="1" applyAlignment="1">
      <alignment horizontal="right" vertical="center" wrapText="1"/>
    </xf>
    <xf numFmtId="49" fontId="0" fillId="0" borderId="2" xfId="0" applyNumberFormat="1" applyFill="1" applyBorder="1"/>
    <xf numFmtId="49" fontId="35" fillId="0" borderId="2" xfId="0" applyNumberFormat="1" applyFont="1" applyFill="1" applyBorder="1"/>
    <xf numFmtId="49" fontId="35" fillId="0" borderId="2" xfId="0" applyNumberFormat="1" applyFont="1" applyFill="1" applyBorder="1" applyAlignment="1"/>
    <xf numFmtId="49" fontId="2" fillId="0" borderId="2" xfId="0" applyNumberFormat="1" applyFont="1" applyBorder="1"/>
    <xf numFmtId="0" fontId="0" fillId="0" borderId="14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4" fillId="16" borderId="1" xfId="0" applyFont="1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3" fillId="30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558800</xdr:colOff>
      <xdr:row>33</xdr:row>
      <xdr:rowOff>165100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3E3C7539-5A00-4D68-B259-8421C6D3261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6"/>
  <sheetViews>
    <sheetView topLeftCell="C42" zoomScaleNormal="100" workbookViewId="0">
      <selection activeCell="U58" sqref="U58"/>
    </sheetView>
  </sheetViews>
  <sheetFormatPr defaultColWidth="17.26953125" defaultRowHeight="15" customHeight="1" x14ac:dyDescent="0.25"/>
  <cols>
    <col min="1" max="1" width="4.453125" customWidth="1"/>
    <col min="2" max="2" width="7.81640625" customWidth="1"/>
    <col min="3" max="3" width="25" customWidth="1"/>
    <col min="4" max="4" width="12.81640625" hidden="1" customWidth="1"/>
    <col min="5" max="5" width="21" hidden="1" customWidth="1"/>
    <col min="6" max="6" width="15.81640625" customWidth="1"/>
    <col min="7" max="7" width="14.7265625" hidden="1" customWidth="1"/>
    <col min="8" max="8" width="15.1796875" hidden="1" customWidth="1"/>
    <col min="9" max="9" width="14.453125" hidden="1" customWidth="1"/>
    <col min="10" max="18" width="8.7265625" customWidth="1"/>
    <col min="19" max="19" width="15.1796875" customWidth="1"/>
    <col min="20" max="20" width="16.453125" customWidth="1"/>
    <col min="21" max="21" width="25.26953125" customWidth="1"/>
    <col min="22" max="22" width="8" customWidth="1"/>
    <col min="23" max="23" width="8.26953125" customWidth="1"/>
  </cols>
  <sheetData>
    <row r="1" spans="1:24" ht="15.75" customHeight="1" x14ac:dyDescent="0.35">
      <c r="A1" s="163" t="s">
        <v>0</v>
      </c>
      <c r="B1" s="161"/>
      <c r="C1" s="161"/>
      <c r="D1" s="161"/>
      <c r="E1" s="161"/>
      <c r="F1" s="1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5"/>
    </row>
    <row r="2" spans="1:24" ht="12.75" customHeight="1" x14ac:dyDescent="0.25">
      <c r="A2" s="1" t="s">
        <v>4</v>
      </c>
      <c r="B2" s="4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4" t="s">
        <v>87</v>
      </c>
      <c r="O2" s="165"/>
      <c r="P2" s="165"/>
      <c r="Q2" s="165"/>
      <c r="R2" s="165"/>
      <c r="S2" s="165"/>
      <c r="T2" s="165"/>
      <c r="U2" s="1"/>
      <c r="V2" s="3"/>
      <c r="W2" s="5"/>
    </row>
    <row r="3" spans="1:24" ht="15" customHeight="1" x14ac:dyDescent="0.3">
      <c r="A3" s="160" t="s">
        <v>6</v>
      </c>
      <c r="B3" s="161"/>
      <c r="C3" s="161"/>
      <c r="D3" s="1"/>
      <c r="E3" s="1"/>
      <c r="F3" s="1"/>
      <c r="G3" s="1"/>
      <c r="H3" s="1"/>
      <c r="I3" s="1"/>
      <c r="J3" s="1"/>
      <c r="K3" s="1"/>
      <c r="L3" s="1"/>
      <c r="M3" s="1"/>
      <c r="N3" s="165"/>
      <c r="O3" s="165"/>
      <c r="P3" s="165"/>
      <c r="Q3" s="165"/>
      <c r="R3" s="165"/>
      <c r="S3" s="165"/>
      <c r="T3" s="165"/>
      <c r="U3" s="1"/>
      <c r="V3" s="3"/>
      <c r="W3" s="5"/>
    </row>
    <row r="4" spans="1:24" ht="15" customHeight="1" x14ac:dyDescent="0.3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65"/>
      <c r="O4" s="165"/>
      <c r="P4" s="165"/>
      <c r="Q4" s="165"/>
      <c r="R4" s="165"/>
      <c r="S4" s="165"/>
      <c r="T4" s="165"/>
      <c r="U4" s="1"/>
      <c r="V4" s="3"/>
      <c r="W4" s="5"/>
    </row>
    <row r="5" spans="1:24" ht="15" customHeight="1" x14ac:dyDescent="0.25">
      <c r="A5" s="162" t="s">
        <v>13</v>
      </c>
      <c r="B5" s="161"/>
      <c r="C5" s="161"/>
      <c r="D5" s="1"/>
      <c r="E5" s="1"/>
      <c r="F5" s="1"/>
      <c r="G5" s="1"/>
      <c r="H5" s="1"/>
      <c r="I5" s="1"/>
      <c r="J5" s="1"/>
      <c r="K5" s="1"/>
      <c r="L5" s="1"/>
      <c r="M5" s="1"/>
      <c r="N5" s="165"/>
      <c r="O5" s="165"/>
      <c r="P5" s="165"/>
      <c r="Q5" s="165"/>
      <c r="R5" s="165"/>
      <c r="S5" s="165"/>
      <c r="T5" s="165"/>
      <c r="U5" s="1"/>
      <c r="V5" s="3"/>
      <c r="W5" s="5"/>
    </row>
    <row r="6" spans="1:24" ht="12.75" customHeight="1" x14ac:dyDescent="0.25">
      <c r="A6" s="162" t="s">
        <v>86</v>
      </c>
      <c r="B6" s="161"/>
      <c r="C6" s="161"/>
      <c r="D6" s="161"/>
      <c r="E6" s="161"/>
      <c r="F6" s="161"/>
      <c r="G6" s="16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5"/>
    </row>
    <row r="7" spans="1:24" ht="12.75" customHeight="1" x14ac:dyDescent="0.25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5"/>
    </row>
    <row r="8" spans="1:24" ht="67.5" customHeight="1" x14ac:dyDescent="0.25">
      <c r="A8" s="86"/>
      <c r="B8" s="87" t="s">
        <v>16</v>
      </c>
      <c r="C8" s="87" t="s">
        <v>17</v>
      </c>
      <c r="D8" s="11" t="s">
        <v>18</v>
      </c>
      <c r="E8" s="12" t="s">
        <v>19</v>
      </c>
      <c r="F8" s="98" t="s">
        <v>88</v>
      </c>
      <c r="G8" s="99" t="s">
        <v>22</v>
      </c>
      <c r="H8" s="99" t="s">
        <v>26</v>
      </c>
      <c r="I8" s="100" t="s">
        <v>27</v>
      </c>
      <c r="J8" s="158" t="s">
        <v>89</v>
      </c>
      <c r="K8" s="159"/>
      <c r="L8" s="159"/>
      <c r="M8" s="159"/>
      <c r="N8" s="159"/>
      <c r="O8" s="159"/>
      <c r="P8" s="159"/>
      <c r="Q8" s="159"/>
      <c r="R8" s="159"/>
      <c r="S8" s="159"/>
      <c r="T8" s="101" t="s">
        <v>35</v>
      </c>
      <c r="U8" s="129" t="s">
        <v>36</v>
      </c>
      <c r="V8" s="117" t="s">
        <v>41</v>
      </c>
      <c r="W8" s="17" t="s">
        <v>42</v>
      </c>
      <c r="X8" s="150" t="s">
        <v>142</v>
      </c>
    </row>
    <row r="9" spans="1:24" ht="11.25" customHeight="1" x14ac:dyDescent="0.25">
      <c r="A9" s="102"/>
      <c r="B9" s="102"/>
      <c r="C9" s="103"/>
      <c r="D9" s="104"/>
      <c r="E9" s="105"/>
      <c r="F9" s="105"/>
      <c r="G9" s="106"/>
      <c r="H9" s="106"/>
      <c r="I9" s="106"/>
      <c r="J9" s="107" t="s">
        <v>14</v>
      </c>
      <c r="K9" s="108" t="s">
        <v>15</v>
      </c>
      <c r="L9" s="108" t="s">
        <v>43</v>
      </c>
      <c r="M9" s="109" t="s">
        <v>44</v>
      </c>
      <c r="N9" s="109" t="s">
        <v>45</v>
      </c>
      <c r="O9" s="108" t="s">
        <v>46</v>
      </c>
      <c r="P9" s="108" t="s">
        <v>47</v>
      </c>
      <c r="Q9" s="110" t="s">
        <v>48</v>
      </c>
      <c r="R9" s="111" t="s">
        <v>49</v>
      </c>
      <c r="S9" s="112" t="s">
        <v>50</v>
      </c>
      <c r="T9" s="113"/>
      <c r="U9" s="141"/>
      <c r="V9" s="118"/>
      <c r="W9" s="137"/>
    </row>
    <row r="10" spans="1:24" ht="11.25" customHeight="1" x14ac:dyDescent="0.25">
      <c r="A10" s="102"/>
      <c r="B10" s="102"/>
      <c r="C10" s="103"/>
      <c r="D10" s="104"/>
      <c r="E10" s="105"/>
      <c r="F10" s="105" t="s">
        <v>90</v>
      </c>
      <c r="G10" s="106" t="s">
        <v>51</v>
      </c>
      <c r="H10" s="106" t="s">
        <v>52</v>
      </c>
      <c r="I10" s="106"/>
      <c r="J10" s="114"/>
      <c r="K10" s="114" t="s">
        <v>149</v>
      </c>
      <c r="L10" s="114" t="s">
        <v>201</v>
      </c>
      <c r="M10" s="114" t="s">
        <v>202</v>
      </c>
      <c r="N10" s="114" t="s">
        <v>203</v>
      </c>
      <c r="O10" s="114"/>
      <c r="P10" s="114"/>
      <c r="Q10" s="115"/>
      <c r="R10" s="115"/>
      <c r="S10" s="116"/>
      <c r="T10" s="113"/>
      <c r="U10" s="141"/>
      <c r="V10" s="118"/>
      <c r="W10" s="137"/>
    </row>
    <row r="11" spans="1:24" ht="11.25" hidden="1" customHeight="1" x14ac:dyDescent="0.25">
      <c r="A11" s="20"/>
      <c r="B11" s="20"/>
      <c r="C11" s="22"/>
      <c r="D11" s="33"/>
      <c r="E11" s="34"/>
      <c r="F11" s="88"/>
      <c r="G11" s="24"/>
      <c r="H11" s="24"/>
      <c r="I11" s="24"/>
      <c r="J11" s="26" t="s">
        <v>53</v>
      </c>
      <c r="K11" s="27" t="s">
        <v>54</v>
      </c>
      <c r="L11" s="27" t="s">
        <v>55</v>
      </c>
      <c r="M11" s="35">
        <v>4</v>
      </c>
      <c r="N11" s="35">
        <v>5</v>
      </c>
      <c r="O11" s="27" t="s">
        <v>56</v>
      </c>
      <c r="P11" s="27" t="s">
        <v>57</v>
      </c>
      <c r="Q11" s="29" t="s">
        <v>58</v>
      </c>
      <c r="R11" s="29" t="s">
        <v>59</v>
      </c>
      <c r="S11" s="93" t="s">
        <v>50</v>
      </c>
      <c r="T11" s="89"/>
      <c r="U11" s="124"/>
      <c r="V11" s="119"/>
      <c r="W11" s="137"/>
    </row>
    <row r="12" spans="1:24" ht="15" customHeight="1" x14ac:dyDescent="0.35">
      <c r="A12" s="36">
        <v>1</v>
      </c>
      <c r="B12" s="154" t="s">
        <v>194</v>
      </c>
      <c r="C12" s="142" t="s">
        <v>91</v>
      </c>
      <c r="D12" s="37"/>
      <c r="E12" s="38" t="e">
        <f t="shared" ref="E12:E63" si="0">VLOOKUP(B12,#REF!,26,FALSE)</f>
        <v>#REF!</v>
      </c>
      <c r="F12" s="146" t="s">
        <v>61</v>
      </c>
      <c r="G12" s="39">
        <v>13</v>
      </c>
      <c r="H12" s="39">
        <v>15</v>
      </c>
      <c r="I12" s="40">
        <f>SUM(G12:H12)</f>
        <v>28</v>
      </c>
      <c r="J12" s="134"/>
      <c r="K12" s="134" t="s">
        <v>61</v>
      </c>
      <c r="L12" s="134"/>
      <c r="M12" s="134"/>
      <c r="N12" s="134"/>
      <c r="O12" s="134"/>
      <c r="P12" s="134"/>
      <c r="Q12" s="134"/>
      <c r="R12" s="134"/>
      <c r="S12" s="94" t="str">
        <f t="shared" ref="S12:S24" si="1">IF(ISBLANK(Q12),IF(ISBLANK(P12),IF(ISBLANK(O12),IF(ISBLANK(N12),IF(ISBLANK(M12),IF(ISBLANK(L12),IF(ISBLANK(K12),IF(ISBLANK(J12),"није излазио/ла",J12),K12),L12),M12),N12),O12),P12),Q12)</f>
        <v>x</v>
      </c>
      <c r="T12" s="90"/>
      <c r="U12" s="125" t="str">
        <f t="shared" ref="U12:U63" si="2">IF(T12="нема услов","нема услов",IF(T12="није полагао/ла","није полагао/ла",IF(T12&gt;90.9,"10/A (изузетан одличан)",IF(T12&gt;80.9,"9/Б (одличан)",IF(T12&gt;70.9,"8/Ц (врло добар)",IF(T12&gt;60.9,"7/Д (добар)",IF(T12&gt;50.9,"6/Е (довољан)","5/Ф (није положио)")))))))</f>
        <v>5/Ф (није положио)</v>
      </c>
      <c r="V12" s="120">
        <f t="shared" ref="V12:V13" si="3">COUNTIF(J12:Q12,"&gt;0")+COUNTIF(J12:Q12,"=0")+COUNTIF(J12:Q12,"=*")</f>
        <v>1</v>
      </c>
      <c r="W12" s="138" t="s">
        <v>60</v>
      </c>
      <c r="X12" s="148">
        <v>5</v>
      </c>
    </row>
    <row r="13" spans="1:24" ht="15" customHeight="1" x14ac:dyDescent="0.35">
      <c r="A13" s="130">
        <v>2</v>
      </c>
      <c r="B13" s="152" t="s">
        <v>168</v>
      </c>
      <c r="C13" s="142" t="s">
        <v>92</v>
      </c>
      <c r="D13" s="37"/>
      <c r="E13" s="38" t="e">
        <f t="shared" si="0"/>
        <v>#REF!</v>
      </c>
      <c r="F13" s="146">
        <v>38</v>
      </c>
      <c r="G13" s="39">
        <v>14.5</v>
      </c>
      <c r="H13" s="39">
        <v>15</v>
      </c>
      <c r="I13" s="40">
        <f t="shared" ref="I13:I26" si="4">SUMIF(G13:H13,"&gt;10")</f>
        <v>29.5</v>
      </c>
      <c r="J13" s="134"/>
      <c r="K13" s="134"/>
      <c r="L13" s="134"/>
      <c r="M13" s="134" t="s">
        <v>61</v>
      </c>
      <c r="N13" s="134">
        <v>5</v>
      </c>
      <c r="O13" s="134"/>
      <c r="P13" s="134"/>
      <c r="Q13" s="134"/>
      <c r="R13" s="134"/>
      <c r="S13" s="94">
        <f t="shared" si="1"/>
        <v>5</v>
      </c>
      <c r="T13" s="90">
        <v>38</v>
      </c>
      <c r="U13" s="125" t="str">
        <f t="shared" si="2"/>
        <v>5/Ф (није положио)</v>
      </c>
      <c r="V13" s="120">
        <f t="shared" si="3"/>
        <v>2</v>
      </c>
      <c r="W13" s="138" t="s">
        <v>60</v>
      </c>
      <c r="X13" s="148" t="s">
        <v>143</v>
      </c>
    </row>
    <row r="14" spans="1:24" ht="15" customHeight="1" x14ac:dyDescent="0.35">
      <c r="A14" s="130">
        <v>3</v>
      </c>
      <c r="B14" s="151" t="s">
        <v>150</v>
      </c>
      <c r="C14" s="142" t="s">
        <v>93</v>
      </c>
      <c r="D14" s="37"/>
      <c r="E14" s="38" t="e">
        <f t="shared" si="0"/>
        <v>#REF!</v>
      </c>
      <c r="F14" s="146">
        <v>61</v>
      </c>
      <c r="G14" s="39">
        <v>12.5</v>
      </c>
      <c r="H14" s="42">
        <v>5</v>
      </c>
      <c r="I14" s="40">
        <f t="shared" si="4"/>
        <v>12.5</v>
      </c>
      <c r="J14" s="135"/>
      <c r="K14" s="134">
        <v>5</v>
      </c>
      <c r="L14" s="134"/>
      <c r="M14" s="134"/>
      <c r="N14" s="134"/>
      <c r="O14" s="134"/>
      <c r="P14" s="134"/>
      <c r="Q14" s="134"/>
      <c r="R14" s="134"/>
      <c r="S14" s="94">
        <f t="shared" si="1"/>
        <v>5</v>
      </c>
      <c r="T14" s="90">
        <v>61</v>
      </c>
      <c r="U14" s="125" t="str">
        <f t="shared" si="2"/>
        <v>7/Д (добар)</v>
      </c>
      <c r="V14" s="120">
        <f>COUNTIF(K14:Q14,"&gt;0")+COUNTIF(K14:Q14,"=0")+COUNTIF(K14:Q14,"=*")</f>
        <v>1</v>
      </c>
      <c r="W14" s="138" t="s">
        <v>60</v>
      </c>
      <c r="X14" s="148" t="s">
        <v>144</v>
      </c>
    </row>
    <row r="15" spans="1:24" ht="15" customHeight="1" x14ac:dyDescent="0.35">
      <c r="A15" s="130">
        <v>4</v>
      </c>
      <c r="B15" s="152" t="s">
        <v>170</v>
      </c>
      <c r="C15" s="142" t="s">
        <v>94</v>
      </c>
      <c r="D15" s="37"/>
      <c r="E15" s="38" t="e">
        <f t="shared" si="0"/>
        <v>#REF!</v>
      </c>
      <c r="F15" s="146">
        <v>42</v>
      </c>
      <c r="G15" s="39">
        <v>14.5</v>
      </c>
      <c r="H15" s="39">
        <v>12</v>
      </c>
      <c r="I15" s="40">
        <f t="shared" si="4"/>
        <v>26.5</v>
      </c>
      <c r="J15" s="134"/>
      <c r="K15" s="134"/>
      <c r="L15" s="134">
        <v>22</v>
      </c>
      <c r="M15" s="134"/>
      <c r="N15" s="134"/>
      <c r="O15" s="134"/>
      <c r="P15" s="134"/>
      <c r="Q15" s="134"/>
      <c r="R15" s="134"/>
      <c r="S15" s="94">
        <f t="shared" si="1"/>
        <v>22</v>
      </c>
      <c r="T15" s="90">
        <v>64</v>
      </c>
      <c r="U15" s="125" t="str">
        <f t="shared" si="2"/>
        <v>7/Д (добар)</v>
      </c>
      <c r="V15" s="120">
        <f t="shared" ref="V15:V63" si="5">COUNTIF(J15:Q15,"&gt;0")+COUNTIF(J15:Q15,"=0")+COUNTIF(J15:Q15,"=*")</f>
        <v>1</v>
      </c>
      <c r="W15" s="138" t="s">
        <v>60</v>
      </c>
      <c r="X15" s="148" t="s">
        <v>56</v>
      </c>
    </row>
    <row r="16" spans="1:24" ht="15" customHeight="1" x14ac:dyDescent="0.35">
      <c r="A16" s="130">
        <v>5</v>
      </c>
      <c r="B16" s="152" t="s">
        <v>169</v>
      </c>
      <c r="C16" s="142" t="s">
        <v>95</v>
      </c>
      <c r="D16" s="37"/>
      <c r="E16" s="38" t="e">
        <f t="shared" si="0"/>
        <v>#REF!</v>
      </c>
      <c r="F16" s="146">
        <v>42</v>
      </c>
      <c r="G16" s="39">
        <v>14</v>
      </c>
      <c r="H16" s="39">
        <v>14</v>
      </c>
      <c r="I16" s="40">
        <f t="shared" si="4"/>
        <v>28</v>
      </c>
      <c r="J16" s="134"/>
      <c r="K16" s="134"/>
      <c r="L16" s="134"/>
      <c r="M16" s="134"/>
      <c r="N16" s="134"/>
      <c r="O16" s="134"/>
      <c r="P16" s="134"/>
      <c r="Q16" s="134"/>
      <c r="R16" s="134"/>
      <c r="S16" s="94" t="str">
        <f t="shared" si="1"/>
        <v>није излазио/ла</v>
      </c>
      <c r="T16" s="90">
        <v>42</v>
      </c>
      <c r="U16" s="125" t="str">
        <f t="shared" si="2"/>
        <v>5/Ф (није положио)</v>
      </c>
      <c r="V16" s="120">
        <f t="shared" si="5"/>
        <v>0</v>
      </c>
      <c r="W16" s="138" t="s">
        <v>60</v>
      </c>
      <c r="X16" s="148" t="s">
        <v>56</v>
      </c>
    </row>
    <row r="17" spans="1:24" ht="15" customHeight="1" x14ac:dyDescent="0.35">
      <c r="A17" s="130">
        <v>6</v>
      </c>
      <c r="B17" s="152" t="s">
        <v>151</v>
      </c>
      <c r="C17" s="142" t="s">
        <v>96</v>
      </c>
      <c r="D17" s="37"/>
      <c r="E17" s="38" t="e">
        <f t="shared" si="0"/>
        <v>#REF!</v>
      </c>
      <c r="F17" s="146">
        <v>61</v>
      </c>
      <c r="G17" s="39">
        <v>13.5</v>
      </c>
      <c r="H17" s="39">
        <v>13.5</v>
      </c>
      <c r="I17" s="40">
        <f t="shared" si="4"/>
        <v>27</v>
      </c>
      <c r="J17" s="134"/>
      <c r="K17" s="134">
        <v>24</v>
      </c>
      <c r="L17" s="134"/>
      <c r="M17" s="134"/>
      <c r="N17" s="134"/>
      <c r="O17" s="134"/>
      <c r="P17" s="134"/>
      <c r="Q17" s="134"/>
      <c r="R17" s="134"/>
      <c r="S17" s="94">
        <f t="shared" si="1"/>
        <v>24</v>
      </c>
      <c r="T17" s="90">
        <v>85</v>
      </c>
      <c r="U17" s="125" t="str">
        <f t="shared" si="2"/>
        <v>9/Б (одличан)</v>
      </c>
      <c r="V17" s="120">
        <f t="shared" si="5"/>
        <v>1</v>
      </c>
      <c r="W17" s="138" t="s">
        <v>60</v>
      </c>
      <c r="X17" s="148" t="s">
        <v>144</v>
      </c>
    </row>
    <row r="18" spans="1:24" ht="15" customHeight="1" x14ac:dyDescent="0.35">
      <c r="A18" s="130">
        <v>7</v>
      </c>
      <c r="B18" s="152" t="s">
        <v>152</v>
      </c>
      <c r="C18" s="142" t="s">
        <v>97</v>
      </c>
      <c r="D18" s="43"/>
      <c r="E18" s="44" t="e">
        <f t="shared" si="0"/>
        <v>#REF!</v>
      </c>
      <c r="F18" s="146">
        <v>42</v>
      </c>
      <c r="G18" s="45">
        <v>8</v>
      </c>
      <c r="H18" s="45" t="s">
        <v>62</v>
      </c>
      <c r="I18" s="46">
        <f t="shared" si="4"/>
        <v>0</v>
      </c>
      <c r="J18" s="134"/>
      <c r="K18" s="134">
        <v>5</v>
      </c>
      <c r="L18" s="134">
        <v>22</v>
      </c>
      <c r="M18" s="134"/>
      <c r="N18" s="134"/>
      <c r="O18" s="134"/>
      <c r="P18" s="134"/>
      <c r="Q18" s="134"/>
      <c r="R18" s="134"/>
      <c r="S18" s="95">
        <f t="shared" si="1"/>
        <v>22</v>
      </c>
      <c r="T18" s="91">
        <f t="shared" ref="T18:T55" si="6">SUM(F18,I18,S18)</f>
        <v>64</v>
      </c>
      <c r="U18" s="126" t="str">
        <f t="shared" si="2"/>
        <v>7/Д (добар)</v>
      </c>
      <c r="V18" s="121">
        <f t="shared" si="5"/>
        <v>2</v>
      </c>
      <c r="W18" s="138" t="s">
        <v>60</v>
      </c>
      <c r="X18" s="148" t="s">
        <v>56</v>
      </c>
    </row>
    <row r="19" spans="1:24" ht="15" customHeight="1" x14ac:dyDescent="0.35">
      <c r="A19" s="130">
        <v>8</v>
      </c>
      <c r="B19" s="152" t="s">
        <v>188</v>
      </c>
      <c r="C19" s="143" t="s">
        <v>98</v>
      </c>
      <c r="D19" s="47"/>
      <c r="E19" s="48" t="e">
        <f t="shared" si="0"/>
        <v>#REF!</v>
      </c>
      <c r="F19" s="155">
        <v>49</v>
      </c>
      <c r="G19" s="42">
        <v>13.5</v>
      </c>
      <c r="H19" s="42">
        <v>5</v>
      </c>
      <c r="I19" s="49">
        <f t="shared" si="4"/>
        <v>13.5</v>
      </c>
      <c r="J19" s="134"/>
      <c r="K19" s="134"/>
      <c r="L19" s="134"/>
      <c r="M19" s="134">
        <v>18</v>
      </c>
      <c r="N19" s="134"/>
      <c r="O19" s="134"/>
      <c r="P19" s="134"/>
      <c r="Q19" s="134"/>
      <c r="R19" s="134"/>
      <c r="S19" s="96">
        <f t="shared" si="1"/>
        <v>18</v>
      </c>
      <c r="T19" s="92">
        <f t="shared" si="6"/>
        <v>80.5</v>
      </c>
      <c r="U19" s="127" t="str">
        <f t="shared" si="2"/>
        <v>8/Ц (врло добар)</v>
      </c>
      <c r="V19" s="122">
        <f t="shared" si="5"/>
        <v>1</v>
      </c>
      <c r="W19" s="138" t="s">
        <v>60</v>
      </c>
      <c r="X19" s="149"/>
    </row>
    <row r="20" spans="1:24" ht="15" customHeight="1" x14ac:dyDescent="0.35">
      <c r="A20" s="130">
        <v>9</v>
      </c>
      <c r="B20" s="152" t="s">
        <v>193</v>
      </c>
      <c r="C20" s="142" t="s">
        <v>99</v>
      </c>
      <c r="D20" s="37"/>
      <c r="E20" s="38" t="e">
        <f t="shared" si="0"/>
        <v>#REF!</v>
      </c>
      <c r="F20" s="146">
        <v>49</v>
      </c>
      <c r="G20" s="39">
        <v>13</v>
      </c>
      <c r="H20" s="39">
        <v>13</v>
      </c>
      <c r="I20" s="40">
        <f t="shared" si="4"/>
        <v>26</v>
      </c>
      <c r="J20" s="134"/>
      <c r="K20" s="134"/>
      <c r="L20" s="134">
        <v>18</v>
      </c>
      <c r="M20" s="134"/>
      <c r="N20" s="134"/>
      <c r="O20" s="134"/>
      <c r="P20" s="134"/>
      <c r="Q20" s="134"/>
      <c r="R20" s="134"/>
      <c r="S20" s="94">
        <f t="shared" si="1"/>
        <v>18</v>
      </c>
      <c r="T20" s="90">
        <v>67</v>
      </c>
      <c r="U20" s="125" t="str">
        <f t="shared" si="2"/>
        <v>7/Д (добар)</v>
      </c>
      <c r="V20" s="120">
        <f t="shared" si="5"/>
        <v>1</v>
      </c>
      <c r="W20" s="138" t="s">
        <v>60</v>
      </c>
      <c r="X20" s="148" t="s">
        <v>57</v>
      </c>
    </row>
    <row r="21" spans="1:24" ht="15" customHeight="1" x14ac:dyDescent="0.35">
      <c r="A21" s="130">
        <v>10</v>
      </c>
      <c r="B21" s="153" t="s">
        <v>196</v>
      </c>
      <c r="C21" s="142" t="s">
        <v>100</v>
      </c>
      <c r="D21" s="37"/>
      <c r="E21" s="38" t="e">
        <f t="shared" si="0"/>
        <v>#REF!</v>
      </c>
      <c r="F21" s="146">
        <v>15</v>
      </c>
      <c r="G21" s="39">
        <v>12</v>
      </c>
      <c r="H21" s="39">
        <v>11</v>
      </c>
      <c r="I21" s="40">
        <f t="shared" si="4"/>
        <v>23</v>
      </c>
      <c r="J21" s="134"/>
      <c r="K21" s="134"/>
      <c r="L21" s="134"/>
      <c r="M21" s="134"/>
      <c r="N21" s="134"/>
      <c r="O21" s="134"/>
      <c r="P21" s="134"/>
      <c r="Q21" s="134"/>
      <c r="R21" s="134"/>
      <c r="S21" s="94" t="str">
        <f t="shared" si="1"/>
        <v>није излазио/ла</v>
      </c>
      <c r="T21" s="90">
        <v>15</v>
      </c>
      <c r="U21" s="125" t="str">
        <f t="shared" si="2"/>
        <v>5/Ф (није положио)</v>
      </c>
      <c r="V21" s="120">
        <f t="shared" si="5"/>
        <v>0</v>
      </c>
      <c r="W21" s="138" t="s">
        <v>60</v>
      </c>
      <c r="X21" s="148" t="s">
        <v>145</v>
      </c>
    </row>
    <row r="22" spans="1:24" ht="15" customHeight="1" x14ac:dyDescent="0.35">
      <c r="A22" s="130">
        <v>11</v>
      </c>
      <c r="B22" s="152" t="s">
        <v>199</v>
      </c>
      <c r="C22" s="142" t="s">
        <v>63</v>
      </c>
      <c r="D22" s="37"/>
      <c r="E22" s="38" t="e">
        <f t="shared" si="0"/>
        <v>#REF!</v>
      </c>
      <c r="F22" s="146">
        <v>51</v>
      </c>
      <c r="G22" s="39">
        <v>16</v>
      </c>
      <c r="H22" s="39">
        <v>12</v>
      </c>
      <c r="I22" s="40">
        <f t="shared" si="4"/>
        <v>28</v>
      </c>
      <c r="J22" s="134"/>
      <c r="K22" s="134"/>
      <c r="L22" s="134">
        <v>5</v>
      </c>
      <c r="M22" s="134">
        <v>18</v>
      </c>
      <c r="N22" s="134"/>
      <c r="O22" s="134"/>
      <c r="P22" s="134"/>
      <c r="Q22" s="134"/>
      <c r="R22" s="134"/>
      <c r="S22" s="94">
        <f t="shared" si="1"/>
        <v>18</v>
      </c>
      <c r="T22" s="90">
        <v>51</v>
      </c>
      <c r="U22" s="125" t="str">
        <f t="shared" si="2"/>
        <v>6/Е (довољан)</v>
      </c>
      <c r="V22" s="120">
        <f t="shared" si="5"/>
        <v>2</v>
      </c>
      <c r="W22" s="138" t="s">
        <v>60</v>
      </c>
      <c r="X22" s="148" t="s">
        <v>146</v>
      </c>
    </row>
    <row r="23" spans="1:24" ht="15" customHeight="1" x14ac:dyDescent="0.35">
      <c r="A23" s="130">
        <v>12</v>
      </c>
      <c r="B23" s="152" t="s">
        <v>171</v>
      </c>
      <c r="C23" s="142" t="s">
        <v>101</v>
      </c>
      <c r="D23" s="37"/>
      <c r="E23" s="38" t="e">
        <f t="shared" si="0"/>
        <v>#REF!</v>
      </c>
      <c r="F23" s="146">
        <v>49</v>
      </c>
      <c r="G23" s="39">
        <v>12</v>
      </c>
      <c r="H23" s="39">
        <v>12</v>
      </c>
      <c r="I23" s="40">
        <f t="shared" si="4"/>
        <v>24</v>
      </c>
      <c r="J23" s="134"/>
      <c r="K23" s="134">
        <v>5</v>
      </c>
      <c r="L23" s="134">
        <v>5</v>
      </c>
      <c r="M23" s="134"/>
      <c r="N23" s="134">
        <v>5</v>
      </c>
      <c r="O23" s="134"/>
      <c r="P23" s="134"/>
      <c r="Q23" s="134"/>
      <c r="R23" s="134"/>
      <c r="S23" s="94">
        <f t="shared" si="1"/>
        <v>5</v>
      </c>
      <c r="T23" s="90">
        <v>49</v>
      </c>
      <c r="U23" s="125" t="str">
        <f t="shared" si="2"/>
        <v>5/Ф (није положио)</v>
      </c>
      <c r="V23" s="120">
        <f t="shared" si="5"/>
        <v>3</v>
      </c>
      <c r="W23" s="138" t="s">
        <v>60</v>
      </c>
      <c r="X23" s="148" t="s">
        <v>57</v>
      </c>
    </row>
    <row r="24" spans="1:24" ht="15" customHeight="1" x14ac:dyDescent="0.35">
      <c r="A24" s="130">
        <v>13</v>
      </c>
      <c r="B24" s="152" t="s">
        <v>153</v>
      </c>
      <c r="C24" s="142" t="s">
        <v>102</v>
      </c>
      <c r="D24" s="43"/>
      <c r="E24" s="44" t="e">
        <f t="shared" si="0"/>
        <v>#REF!</v>
      </c>
      <c r="F24" s="146">
        <v>58</v>
      </c>
      <c r="G24" s="45" t="s">
        <v>64</v>
      </c>
      <c r="H24" s="45" t="s">
        <v>62</v>
      </c>
      <c r="I24" s="46">
        <f t="shared" si="4"/>
        <v>0</v>
      </c>
      <c r="J24" s="134"/>
      <c r="K24" s="134"/>
      <c r="L24" s="134"/>
      <c r="M24" s="134"/>
      <c r="N24" s="134">
        <v>24</v>
      </c>
      <c r="O24" s="134"/>
      <c r="P24" s="134"/>
      <c r="Q24" s="134"/>
      <c r="R24" s="134"/>
      <c r="S24" s="95">
        <f t="shared" si="1"/>
        <v>24</v>
      </c>
      <c r="T24" s="91">
        <f t="shared" si="6"/>
        <v>82</v>
      </c>
      <c r="U24" s="126" t="str">
        <f t="shared" si="2"/>
        <v>9/Б (одличан)</v>
      </c>
      <c r="V24" s="121">
        <f t="shared" si="5"/>
        <v>1</v>
      </c>
      <c r="W24" s="138" t="s">
        <v>60</v>
      </c>
      <c r="X24" s="148" t="s">
        <v>147</v>
      </c>
    </row>
    <row r="25" spans="1:24" ht="14.5" customHeight="1" x14ac:dyDescent="0.35">
      <c r="A25" s="130">
        <v>14</v>
      </c>
      <c r="B25" s="152" t="s">
        <v>191</v>
      </c>
      <c r="C25" s="142" t="s">
        <v>103</v>
      </c>
      <c r="D25" s="37"/>
      <c r="E25" s="38" t="e">
        <f t="shared" si="0"/>
        <v>#REF!</v>
      </c>
      <c r="F25" s="146">
        <v>56</v>
      </c>
      <c r="G25" s="39">
        <v>20</v>
      </c>
      <c r="H25" s="39">
        <v>19</v>
      </c>
      <c r="I25" s="40">
        <f t="shared" si="4"/>
        <v>39</v>
      </c>
      <c r="J25" s="134"/>
      <c r="K25" s="134"/>
      <c r="L25" s="140"/>
      <c r="M25" s="134"/>
      <c r="N25" s="134"/>
      <c r="O25" s="134"/>
      <c r="P25" s="134"/>
      <c r="Q25" s="134"/>
      <c r="R25" s="134"/>
      <c r="S25" s="94" t="str">
        <f>IF(ISBLANK(Q25),IF(ISBLANK(P25),IF(ISBLANK(O25),IF(ISBLANK(N25),IF(ISBLANK(M25),IF(ISBLANK(L25),IF(ISBLANK(K25),IF(ISBLANK(J25),"није излазио/ла",J25),K25),L25),M25),N25),O25),P25),Q25)</f>
        <v>није излазио/ла</v>
      </c>
      <c r="T25" s="90">
        <v>56</v>
      </c>
      <c r="U25" s="125" t="str">
        <f t="shared" si="2"/>
        <v>6/Е (довољан)</v>
      </c>
      <c r="V25" s="120">
        <f t="shared" si="5"/>
        <v>0</v>
      </c>
      <c r="W25" s="138" t="s">
        <v>60</v>
      </c>
      <c r="X25" s="148" t="s">
        <v>58</v>
      </c>
    </row>
    <row r="26" spans="1:24" ht="15" customHeight="1" x14ac:dyDescent="0.35">
      <c r="A26" s="130">
        <v>15</v>
      </c>
      <c r="B26" s="152" t="s">
        <v>182</v>
      </c>
      <c r="C26" s="142" t="s">
        <v>104</v>
      </c>
      <c r="D26" s="37"/>
      <c r="E26" s="38" t="e">
        <f t="shared" si="0"/>
        <v>#REF!</v>
      </c>
      <c r="F26" s="146">
        <v>58</v>
      </c>
      <c r="G26" s="39">
        <v>12</v>
      </c>
      <c r="H26" s="39">
        <v>14</v>
      </c>
      <c r="I26" s="40">
        <f t="shared" si="4"/>
        <v>26</v>
      </c>
      <c r="J26" s="134"/>
      <c r="K26" s="134">
        <v>5</v>
      </c>
      <c r="L26" s="134"/>
      <c r="M26" s="134"/>
      <c r="N26" s="134">
        <v>21</v>
      </c>
      <c r="O26" s="134"/>
      <c r="P26" s="134"/>
      <c r="Q26" s="134"/>
      <c r="R26" s="134"/>
      <c r="S26" s="94">
        <f t="shared" ref="S26:S44" si="7">IF(ISBLANK(Q26),IF(ISBLANK(P26),IF(ISBLANK(O26),IF(ISBLANK(N26),IF(ISBLANK(M26),IF(ISBLANK(L26),IF(ISBLANK(K26),IF(ISBLANK(J26),"није излазио/ла",J26),K26),L26),M26),N26),O26),P26),Q26)</f>
        <v>21</v>
      </c>
      <c r="T26" s="90">
        <v>79</v>
      </c>
      <c r="U26" s="125" t="str">
        <f t="shared" si="2"/>
        <v>8/Ц (врло добар)</v>
      </c>
      <c r="V26" s="120">
        <f t="shared" si="5"/>
        <v>2</v>
      </c>
      <c r="W26" s="138" t="s">
        <v>60</v>
      </c>
      <c r="X26" s="148" t="s">
        <v>147</v>
      </c>
    </row>
    <row r="27" spans="1:24" ht="15" customHeight="1" x14ac:dyDescent="0.35">
      <c r="A27" s="130">
        <v>16</v>
      </c>
      <c r="B27" s="152" t="s">
        <v>184</v>
      </c>
      <c r="C27" s="142" t="s">
        <v>105</v>
      </c>
      <c r="D27" s="37"/>
      <c r="E27" s="38" t="e">
        <f t="shared" si="0"/>
        <v>#REF!</v>
      </c>
      <c r="F27" s="146">
        <v>58</v>
      </c>
      <c r="G27" s="39">
        <v>16</v>
      </c>
      <c r="H27" s="39">
        <v>5</v>
      </c>
      <c r="I27" s="40">
        <f>SUM(G27:H27)</f>
        <v>21</v>
      </c>
      <c r="J27" s="134"/>
      <c r="K27" s="134">
        <v>18</v>
      </c>
      <c r="L27" s="134"/>
      <c r="M27" s="134"/>
      <c r="N27" s="134"/>
      <c r="O27" s="134"/>
      <c r="P27" s="134"/>
      <c r="Q27" s="134"/>
      <c r="R27" s="134"/>
      <c r="S27" s="94">
        <f t="shared" si="7"/>
        <v>18</v>
      </c>
      <c r="T27" s="90">
        <v>76</v>
      </c>
      <c r="U27" s="125" t="str">
        <f t="shared" si="2"/>
        <v>8/Ц (врло добар)</v>
      </c>
      <c r="V27" s="120">
        <f t="shared" si="5"/>
        <v>1</v>
      </c>
      <c r="W27" s="138" t="s">
        <v>60</v>
      </c>
      <c r="X27" s="148" t="s">
        <v>147</v>
      </c>
    </row>
    <row r="28" spans="1:24" ht="15" customHeight="1" x14ac:dyDescent="0.35">
      <c r="A28" s="130">
        <v>17</v>
      </c>
      <c r="B28" s="152" t="s">
        <v>172</v>
      </c>
      <c r="C28" s="142" t="s">
        <v>106</v>
      </c>
      <c r="D28" s="37"/>
      <c r="E28" s="38" t="e">
        <f t="shared" si="0"/>
        <v>#REF!</v>
      </c>
      <c r="F28" s="146">
        <v>42</v>
      </c>
      <c r="G28" s="39">
        <v>15.5</v>
      </c>
      <c r="H28" s="50">
        <v>13</v>
      </c>
      <c r="I28" s="40">
        <f t="shared" ref="I28:I29" si="8">SUMIF(G28:H28,"&gt;10")</f>
        <v>28.5</v>
      </c>
      <c r="J28" s="134"/>
      <c r="K28" s="134"/>
      <c r="L28" s="134"/>
      <c r="M28" s="134"/>
      <c r="N28" s="134"/>
      <c r="O28" s="134"/>
      <c r="P28" s="134"/>
      <c r="Q28" s="134"/>
      <c r="R28" s="134"/>
      <c r="S28" s="94" t="str">
        <f t="shared" si="7"/>
        <v>није излазио/ла</v>
      </c>
      <c r="T28" s="90">
        <v>42</v>
      </c>
      <c r="U28" s="125" t="str">
        <f t="shared" si="2"/>
        <v>5/Ф (није положио)</v>
      </c>
      <c r="V28" s="120">
        <f t="shared" si="5"/>
        <v>0</v>
      </c>
      <c r="W28" s="138" t="s">
        <v>60</v>
      </c>
      <c r="X28" s="148" t="s">
        <v>56</v>
      </c>
    </row>
    <row r="29" spans="1:24" ht="15" customHeight="1" x14ac:dyDescent="0.35">
      <c r="A29" s="131">
        <v>18</v>
      </c>
      <c r="B29" s="152" t="s">
        <v>161</v>
      </c>
      <c r="C29" s="142" t="s">
        <v>107</v>
      </c>
      <c r="D29" s="47"/>
      <c r="E29" s="48" t="e">
        <f t="shared" si="0"/>
        <v>#REF!</v>
      </c>
      <c r="F29" s="146">
        <v>56</v>
      </c>
      <c r="G29" s="42">
        <v>7</v>
      </c>
      <c r="H29" s="42">
        <v>5</v>
      </c>
      <c r="I29" s="49">
        <f t="shared" si="8"/>
        <v>0</v>
      </c>
      <c r="J29" s="134"/>
      <c r="K29" s="134"/>
      <c r="L29" s="134"/>
      <c r="M29" s="134"/>
      <c r="N29" s="134"/>
      <c r="O29" s="134"/>
      <c r="P29" s="134"/>
      <c r="Q29" s="134"/>
      <c r="R29" s="134"/>
      <c r="S29" s="96" t="str">
        <f t="shared" si="7"/>
        <v>није излазио/ла</v>
      </c>
      <c r="T29" s="92">
        <v>56</v>
      </c>
      <c r="U29" s="127" t="str">
        <f t="shared" si="2"/>
        <v>6/Е (довољан)</v>
      </c>
      <c r="V29" s="122">
        <f t="shared" si="5"/>
        <v>0</v>
      </c>
      <c r="W29" s="138" t="s">
        <v>60</v>
      </c>
      <c r="X29" s="148" t="s">
        <v>58</v>
      </c>
    </row>
    <row r="30" spans="1:24" ht="15" customHeight="1" x14ac:dyDescent="0.35">
      <c r="A30" s="131">
        <v>19</v>
      </c>
      <c r="B30" s="152" t="s">
        <v>198</v>
      </c>
      <c r="C30" s="142" t="s">
        <v>108</v>
      </c>
      <c r="D30" s="37"/>
      <c r="E30" s="38" t="e">
        <f t="shared" si="0"/>
        <v>#REF!</v>
      </c>
      <c r="F30" s="146">
        <v>42</v>
      </c>
      <c r="G30" s="39">
        <v>13</v>
      </c>
      <c r="H30" s="39">
        <v>5</v>
      </c>
      <c r="I30" s="40">
        <f t="shared" ref="I30:I33" si="9">SUM(G30:H30)</f>
        <v>18</v>
      </c>
      <c r="J30" s="134"/>
      <c r="K30" s="134"/>
      <c r="L30" s="134"/>
      <c r="M30" s="134"/>
      <c r="N30" s="134">
        <v>5</v>
      </c>
      <c r="O30" s="134"/>
      <c r="P30" s="134"/>
      <c r="Q30" s="134"/>
      <c r="R30" s="134"/>
      <c r="S30" s="94">
        <f t="shared" si="7"/>
        <v>5</v>
      </c>
      <c r="T30" s="90">
        <v>42</v>
      </c>
      <c r="U30" s="125" t="str">
        <f t="shared" si="2"/>
        <v>5/Ф (није положио)</v>
      </c>
      <c r="V30" s="120">
        <f t="shared" si="5"/>
        <v>1</v>
      </c>
      <c r="W30" s="138" t="s">
        <v>60</v>
      </c>
      <c r="X30" s="148" t="s">
        <v>56</v>
      </c>
    </row>
    <row r="31" spans="1:24" ht="15" customHeight="1" x14ac:dyDescent="0.35">
      <c r="A31" s="131">
        <v>20</v>
      </c>
      <c r="B31" s="152" t="s">
        <v>154</v>
      </c>
      <c r="C31" s="142" t="s">
        <v>109</v>
      </c>
      <c r="D31" s="43"/>
      <c r="E31" s="44" t="e">
        <f t="shared" si="0"/>
        <v>#REF!</v>
      </c>
      <c r="F31" s="146">
        <v>58</v>
      </c>
      <c r="G31" s="45">
        <v>12</v>
      </c>
      <c r="H31" s="45">
        <v>5</v>
      </c>
      <c r="I31" s="40">
        <f t="shared" si="9"/>
        <v>17</v>
      </c>
      <c r="J31" s="134"/>
      <c r="K31" s="134">
        <v>5</v>
      </c>
      <c r="L31" s="134"/>
      <c r="M31" s="134"/>
      <c r="N31" s="134">
        <v>21</v>
      </c>
      <c r="O31" s="134"/>
      <c r="P31" s="134"/>
      <c r="Q31" s="134"/>
      <c r="R31" s="134"/>
      <c r="S31" s="95">
        <f t="shared" si="7"/>
        <v>21</v>
      </c>
      <c r="T31" s="91">
        <v>79</v>
      </c>
      <c r="U31" s="126" t="str">
        <f t="shared" si="2"/>
        <v>8/Ц (врло добар)</v>
      </c>
      <c r="V31" s="121">
        <f t="shared" si="5"/>
        <v>2</v>
      </c>
      <c r="W31" s="138" t="s">
        <v>60</v>
      </c>
      <c r="X31" s="148" t="s">
        <v>147</v>
      </c>
    </row>
    <row r="32" spans="1:24" ht="15" customHeight="1" x14ac:dyDescent="0.35">
      <c r="A32" s="131">
        <v>21</v>
      </c>
      <c r="B32" s="152" t="s">
        <v>155</v>
      </c>
      <c r="C32" s="142" t="s">
        <v>110</v>
      </c>
      <c r="D32" s="37"/>
      <c r="E32" s="38" t="e">
        <f t="shared" si="0"/>
        <v>#REF!</v>
      </c>
      <c r="F32" s="146">
        <v>58</v>
      </c>
      <c r="G32" s="39">
        <v>15</v>
      </c>
      <c r="H32" s="39">
        <v>5</v>
      </c>
      <c r="I32" s="40">
        <f t="shared" si="9"/>
        <v>20</v>
      </c>
      <c r="J32" s="134"/>
      <c r="K32" s="134">
        <v>5</v>
      </c>
      <c r="L32" s="134"/>
      <c r="M32" s="134"/>
      <c r="N32" s="134">
        <v>23</v>
      </c>
      <c r="O32" s="134"/>
      <c r="P32" s="134"/>
      <c r="Q32" s="134"/>
      <c r="R32" s="134"/>
      <c r="S32" s="94">
        <f t="shared" si="7"/>
        <v>23</v>
      </c>
      <c r="T32" s="90">
        <v>81</v>
      </c>
      <c r="U32" s="125" t="str">
        <f t="shared" si="2"/>
        <v>9/Б (одличан)</v>
      </c>
      <c r="V32" s="120">
        <f t="shared" si="5"/>
        <v>2</v>
      </c>
      <c r="W32" s="138" t="s">
        <v>60</v>
      </c>
      <c r="X32" s="148" t="s">
        <v>147</v>
      </c>
    </row>
    <row r="33" spans="1:24" ht="15" customHeight="1" x14ac:dyDescent="0.35">
      <c r="A33" s="131">
        <v>22</v>
      </c>
      <c r="B33" s="153" t="s">
        <v>186</v>
      </c>
      <c r="C33" s="144" t="s">
        <v>111</v>
      </c>
      <c r="D33" s="37"/>
      <c r="E33" s="38" t="e">
        <f t="shared" si="0"/>
        <v>#REF!</v>
      </c>
      <c r="F33" s="146" t="s">
        <v>61</v>
      </c>
      <c r="G33" s="39">
        <v>10</v>
      </c>
      <c r="H33" s="39">
        <v>11</v>
      </c>
      <c r="I33" s="40">
        <f t="shared" si="9"/>
        <v>21</v>
      </c>
      <c r="J33" s="134"/>
      <c r="K33" s="134"/>
      <c r="L33" s="134"/>
      <c r="M33" s="134"/>
      <c r="N33" s="134"/>
      <c r="O33" s="134"/>
      <c r="P33" s="134"/>
      <c r="Q33" s="134"/>
      <c r="R33" s="134"/>
      <c r="S33" s="94" t="str">
        <f t="shared" si="7"/>
        <v>није излазио/ла</v>
      </c>
      <c r="T33" s="90">
        <f t="shared" si="6"/>
        <v>21</v>
      </c>
      <c r="U33" s="125" t="str">
        <f t="shared" si="2"/>
        <v>5/Ф (није положио)</v>
      </c>
      <c r="V33" s="120">
        <f t="shared" si="5"/>
        <v>0</v>
      </c>
      <c r="W33" s="138" t="s">
        <v>60</v>
      </c>
      <c r="X33" s="148" t="s">
        <v>145</v>
      </c>
    </row>
    <row r="34" spans="1:24" ht="15" customHeight="1" x14ac:dyDescent="0.35">
      <c r="A34" s="131">
        <v>23</v>
      </c>
      <c r="B34" s="152" t="s">
        <v>162</v>
      </c>
      <c r="C34" s="142" t="s">
        <v>112</v>
      </c>
      <c r="D34" s="47"/>
      <c r="E34" s="48" t="e">
        <f t="shared" si="0"/>
        <v>#REF!</v>
      </c>
      <c r="F34" s="146" t="s">
        <v>61</v>
      </c>
      <c r="G34" s="42">
        <v>12.5</v>
      </c>
      <c r="H34" s="42">
        <v>11</v>
      </c>
      <c r="I34" s="49">
        <f t="shared" ref="I34:I51" si="10">SUMIF(G34:H34,"&gt;10")</f>
        <v>23.5</v>
      </c>
      <c r="J34" s="134"/>
      <c r="K34" s="134"/>
      <c r="L34" s="134"/>
      <c r="M34" s="134"/>
      <c r="N34" s="134"/>
      <c r="O34" s="134"/>
      <c r="P34" s="134"/>
      <c r="Q34" s="134"/>
      <c r="R34" s="134"/>
      <c r="S34" s="96" t="str">
        <f t="shared" si="7"/>
        <v>није излазио/ла</v>
      </c>
      <c r="T34" s="92">
        <f t="shared" si="6"/>
        <v>23.5</v>
      </c>
      <c r="U34" s="127" t="str">
        <f t="shared" si="2"/>
        <v>5/Ф (није положио)</v>
      </c>
      <c r="V34" s="122">
        <f t="shared" si="5"/>
        <v>0</v>
      </c>
      <c r="W34" s="138" t="s">
        <v>60</v>
      </c>
      <c r="X34" s="148" t="s">
        <v>145</v>
      </c>
    </row>
    <row r="35" spans="1:24" ht="15" customHeight="1" x14ac:dyDescent="0.35">
      <c r="A35" s="131">
        <v>24</v>
      </c>
      <c r="B35" s="152" t="s">
        <v>181</v>
      </c>
      <c r="C35" s="142" t="s">
        <v>113</v>
      </c>
      <c r="D35" s="37"/>
      <c r="E35" s="38" t="e">
        <f t="shared" si="0"/>
        <v>#REF!</v>
      </c>
      <c r="F35" s="146">
        <v>42</v>
      </c>
      <c r="G35" s="39">
        <v>13.5</v>
      </c>
      <c r="H35" s="39">
        <v>12.5</v>
      </c>
      <c r="I35" s="40">
        <f t="shared" si="10"/>
        <v>26</v>
      </c>
      <c r="J35" s="134"/>
      <c r="K35" s="134"/>
      <c r="L35" s="134">
        <v>18</v>
      </c>
      <c r="M35" s="134" t="s">
        <v>61</v>
      </c>
      <c r="N35" s="134"/>
      <c r="O35" s="134"/>
      <c r="P35" s="134"/>
      <c r="Q35" s="134"/>
      <c r="R35" s="134"/>
      <c r="S35" s="94" t="str">
        <f t="shared" si="7"/>
        <v>x</v>
      </c>
      <c r="T35" s="90">
        <v>60</v>
      </c>
      <c r="U35" s="125" t="str">
        <f t="shared" si="2"/>
        <v>6/Е (довољан)</v>
      </c>
      <c r="V35" s="120">
        <f t="shared" si="5"/>
        <v>2</v>
      </c>
      <c r="W35" s="138" t="s">
        <v>60</v>
      </c>
      <c r="X35" s="148" t="s">
        <v>56</v>
      </c>
    </row>
    <row r="36" spans="1:24" ht="15" customHeight="1" x14ac:dyDescent="0.35">
      <c r="A36" s="131">
        <v>25</v>
      </c>
      <c r="B36" s="152" t="s">
        <v>187</v>
      </c>
      <c r="C36" s="142" t="s">
        <v>114</v>
      </c>
      <c r="D36" s="37"/>
      <c r="E36" s="38" t="e">
        <f t="shared" si="0"/>
        <v>#REF!</v>
      </c>
      <c r="F36" s="146">
        <v>38</v>
      </c>
      <c r="G36" s="39">
        <v>15</v>
      </c>
      <c r="H36" s="39">
        <v>12</v>
      </c>
      <c r="I36" s="40">
        <f t="shared" si="10"/>
        <v>27</v>
      </c>
      <c r="J36" s="134"/>
      <c r="K36" s="134"/>
      <c r="L36" s="134"/>
      <c r="M36" s="134"/>
      <c r="N36" s="134">
        <v>5</v>
      </c>
      <c r="O36" s="134"/>
      <c r="P36" s="134"/>
      <c r="Q36" s="134"/>
      <c r="R36" s="134"/>
      <c r="S36" s="94">
        <f t="shared" si="7"/>
        <v>5</v>
      </c>
      <c r="T36" s="90">
        <v>38</v>
      </c>
      <c r="U36" s="125" t="str">
        <f t="shared" si="2"/>
        <v>5/Ф (није положио)</v>
      </c>
      <c r="V36" s="120">
        <f t="shared" si="5"/>
        <v>1</v>
      </c>
      <c r="W36" s="138" t="s">
        <v>60</v>
      </c>
      <c r="X36" s="148" t="s">
        <v>143</v>
      </c>
    </row>
    <row r="37" spans="1:24" ht="15" customHeight="1" x14ac:dyDescent="0.35">
      <c r="A37" s="131">
        <v>26</v>
      </c>
      <c r="B37" s="152" t="s">
        <v>163</v>
      </c>
      <c r="C37" s="142" t="s">
        <v>115</v>
      </c>
      <c r="D37" s="37"/>
      <c r="E37" s="38" t="e">
        <f t="shared" si="0"/>
        <v>#REF!</v>
      </c>
      <c r="F37" s="146">
        <v>58</v>
      </c>
      <c r="G37" s="39">
        <v>18.5</v>
      </c>
      <c r="H37" s="39">
        <v>18</v>
      </c>
      <c r="I37" s="40">
        <f t="shared" si="10"/>
        <v>36.5</v>
      </c>
      <c r="J37" s="134"/>
      <c r="K37" s="134"/>
      <c r="L37" s="134"/>
      <c r="M37" s="134"/>
      <c r="N37" s="134"/>
      <c r="O37" s="134"/>
      <c r="P37" s="134"/>
      <c r="Q37" s="134"/>
      <c r="R37" s="134"/>
      <c r="S37" s="94" t="str">
        <f t="shared" si="7"/>
        <v>није излазио/ла</v>
      </c>
      <c r="T37" s="90">
        <v>58</v>
      </c>
      <c r="U37" s="125" t="str">
        <f t="shared" si="2"/>
        <v>6/Е (довољан)</v>
      </c>
      <c r="V37" s="120">
        <f t="shared" si="5"/>
        <v>0</v>
      </c>
      <c r="W37" s="138" t="s">
        <v>60</v>
      </c>
      <c r="X37" s="148" t="s">
        <v>147</v>
      </c>
    </row>
    <row r="38" spans="1:24" ht="15" customHeight="1" x14ac:dyDescent="0.35">
      <c r="A38" s="131">
        <v>27</v>
      </c>
      <c r="B38" s="152" t="s">
        <v>160</v>
      </c>
      <c r="C38" s="142" t="s">
        <v>116</v>
      </c>
      <c r="D38" s="37"/>
      <c r="E38" s="38" t="e">
        <f t="shared" si="0"/>
        <v>#REF!</v>
      </c>
      <c r="F38" s="146">
        <v>56</v>
      </c>
      <c r="G38" s="39">
        <v>18.5</v>
      </c>
      <c r="H38" s="39">
        <v>19</v>
      </c>
      <c r="I38" s="40">
        <f t="shared" si="10"/>
        <v>37.5</v>
      </c>
      <c r="J38" s="134"/>
      <c r="K38" s="134"/>
      <c r="L38" s="134"/>
      <c r="M38" s="134" t="s">
        <v>61</v>
      </c>
      <c r="N38" s="134">
        <v>22.5</v>
      </c>
      <c r="O38" s="134"/>
      <c r="P38" s="134"/>
      <c r="Q38" s="134"/>
      <c r="R38" s="134"/>
      <c r="S38" s="94">
        <f t="shared" si="7"/>
        <v>22.5</v>
      </c>
      <c r="T38" s="90">
        <v>78.5</v>
      </c>
      <c r="U38" s="125" t="str">
        <f t="shared" si="2"/>
        <v>8/Ц (врло добар)</v>
      </c>
      <c r="V38" s="120">
        <f t="shared" si="5"/>
        <v>2</v>
      </c>
      <c r="W38" s="138" t="s">
        <v>60</v>
      </c>
      <c r="X38" s="148" t="s">
        <v>58</v>
      </c>
    </row>
    <row r="39" spans="1:24" ht="15" customHeight="1" x14ac:dyDescent="0.35">
      <c r="A39" s="131">
        <v>28</v>
      </c>
      <c r="B39" s="152" t="s">
        <v>164</v>
      </c>
      <c r="C39" s="142" t="s">
        <v>117</v>
      </c>
      <c r="D39" s="37"/>
      <c r="E39" s="38" t="e">
        <f t="shared" si="0"/>
        <v>#REF!</v>
      </c>
      <c r="F39" s="146">
        <v>44</v>
      </c>
      <c r="G39" s="39">
        <v>16</v>
      </c>
      <c r="H39" s="39">
        <v>15</v>
      </c>
      <c r="I39" s="40">
        <f t="shared" si="10"/>
        <v>31</v>
      </c>
      <c r="J39" s="134"/>
      <c r="K39" s="134"/>
      <c r="L39" s="134"/>
      <c r="M39" s="134"/>
      <c r="N39" s="134"/>
      <c r="O39" s="134"/>
      <c r="P39" s="134"/>
      <c r="Q39" s="134"/>
      <c r="R39" s="134"/>
      <c r="S39" s="94" t="str">
        <f t="shared" si="7"/>
        <v>није излазио/ла</v>
      </c>
      <c r="T39" s="90">
        <v>44</v>
      </c>
      <c r="U39" s="125" t="str">
        <f t="shared" si="2"/>
        <v>5/Ф (није положио)</v>
      </c>
      <c r="V39" s="120">
        <f t="shared" si="5"/>
        <v>0</v>
      </c>
      <c r="W39" s="138" t="s">
        <v>60</v>
      </c>
      <c r="X39" s="148" t="s">
        <v>148</v>
      </c>
    </row>
    <row r="40" spans="1:24" ht="15" customHeight="1" x14ac:dyDescent="0.35">
      <c r="A40" s="131">
        <v>29</v>
      </c>
      <c r="B40" s="152" t="s">
        <v>165</v>
      </c>
      <c r="C40" s="142" t="s">
        <v>118</v>
      </c>
      <c r="D40" s="37"/>
      <c r="E40" s="38" t="e">
        <f t="shared" si="0"/>
        <v>#REF!</v>
      </c>
      <c r="F40" s="146">
        <v>56</v>
      </c>
      <c r="G40" s="39">
        <v>17</v>
      </c>
      <c r="H40" s="39">
        <v>17</v>
      </c>
      <c r="I40" s="40">
        <f t="shared" si="10"/>
        <v>34</v>
      </c>
      <c r="J40" s="134"/>
      <c r="K40" s="134">
        <v>5</v>
      </c>
      <c r="L40" s="134"/>
      <c r="M40" s="134"/>
      <c r="N40" s="134">
        <v>5</v>
      </c>
      <c r="O40" s="134"/>
      <c r="P40" s="134"/>
      <c r="Q40" s="134"/>
      <c r="R40" s="134"/>
      <c r="S40" s="94">
        <f t="shared" si="7"/>
        <v>5</v>
      </c>
      <c r="T40" s="90">
        <v>56</v>
      </c>
      <c r="U40" s="125" t="str">
        <f t="shared" si="2"/>
        <v>6/Е (довољан)</v>
      </c>
      <c r="V40" s="120">
        <f t="shared" si="5"/>
        <v>2</v>
      </c>
      <c r="W40" s="138" t="s">
        <v>60</v>
      </c>
      <c r="X40" s="148" t="s">
        <v>58</v>
      </c>
    </row>
    <row r="41" spans="1:24" ht="15" customHeight="1" x14ac:dyDescent="0.35">
      <c r="A41" s="131">
        <v>30</v>
      </c>
      <c r="B41" s="152" t="s">
        <v>190</v>
      </c>
      <c r="C41" s="142" t="s">
        <v>119</v>
      </c>
      <c r="D41" s="43"/>
      <c r="E41" s="44" t="e">
        <f t="shared" si="0"/>
        <v>#REF!</v>
      </c>
      <c r="F41" s="146">
        <v>42</v>
      </c>
      <c r="G41" s="45">
        <v>13</v>
      </c>
      <c r="H41" s="45">
        <v>5</v>
      </c>
      <c r="I41" s="46">
        <f t="shared" si="10"/>
        <v>13</v>
      </c>
      <c r="J41" s="134"/>
      <c r="K41" s="134"/>
      <c r="L41" s="134"/>
      <c r="M41" s="134"/>
      <c r="N41" s="134"/>
      <c r="O41" s="134"/>
      <c r="P41" s="134"/>
      <c r="Q41" s="134"/>
      <c r="R41" s="134"/>
      <c r="S41" s="95" t="str">
        <f t="shared" si="7"/>
        <v>није излазио/ла</v>
      </c>
      <c r="T41" s="91">
        <v>42</v>
      </c>
      <c r="U41" s="126" t="str">
        <f t="shared" si="2"/>
        <v>5/Ф (није положио)</v>
      </c>
      <c r="V41" s="121">
        <f t="shared" si="5"/>
        <v>0</v>
      </c>
      <c r="W41" s="138" t="s">
        <v>60</v>
      </c>
      <c r="X41" s="148" t="s">
        <v>56</v>
      </c>
    </row>
    <row r="42" spans="1:24" ht="15" customHeight="1" x14ac:dyDescent="0.35">
      <c r="A42" s="131">
        <v>31</v>
      </c>
      <c r="B42" s="152" t="s">
        <v>195</v>
      </c>
      <c r="C42" s="142" t="s">
        <v>120</v>
      </c>
      <c r="D42" s="37"/>
      <c r="E42" s="38" t="e">
        <f t="shared" si="0"/>
        <v>#REF!</v>
      </c>
      <c r="F42" s="146">
        <v>49</v>
      </c>
      <c r="G42" s="39">
        <v>12.5</v>
      </c>
      <c r="H42" s="39">
        <v>12</v>
      </c>
      <c r="I42" s="40">
        <f t="shared" si="10"/>
        <v>24.5</v>
      </c>
      <c r="J42" s="134"/>
      <c r="K42" s="134"/>
      <c r="L42" s="134">
        <v>18</v>
      </c>
      <c r="M42" s="134"/>
      <c r="N42" s="134"/>
      <c r="O42" s="134"/>
      <c r="P42" s="134"/>
      <c r="Q42" s="134"/>
      <c r="R42" s="134"/>
      <c r="S42" s="94">
        <f t="shared" si="7"/>
        <v>18</v>
      </c>
      <c r="T42" s="90">
        <v>67</v>
      </c>
      <c r="U42" s="125" t="str">
        <f t="shared" si="2"/>
        <v>7/Д (добар)</v>
      </c>
      <c r="V42" s="120">
        <f t="shared" si="5"/>
        <v>1</v>
      </c>
      <c r="W42" s="138" t="s">
        <v>60</v>
      </c>
      <c r="X42" s="148" t="s">
        <v>57</v>
      </c>
    </row>
    <row r="43" spans="1:24" ht="15" customHeight="1" x14ac:dyDescent="0.35">
      <c r="A43" s="131">
        <v>32</v>
      </c>
      <c r="B43" s="152" t="s">
        <v>166</v>
      </c>
      <c r="C43" s="142" t="s">
        <v>121</v>
      </c>
      <c r="D43" s="37"/>
      <c r="E43" s="38" t="e">
        <f t="shared" si="0"/>
        <v>#REF!</v>
      </c>
      <c r="F43" s="146">
        <v>38</v>
      </c>
      <c r="G43" s="39">
        <v>13.5</v>
      </c>
      <c r="H43" s="52">
        <v>14</v>
      </c>
      <c r="I43" s="40">
        <f t="shared" si="10"/>
        <v>27.5</v>
      </c>
      <c r="J43" s="134"/>
      <c r="K43" s="134"/>
      <c r="L43" s="134"/>
      <c r="M43" s="134"/>
      <c r="N43" s="134">
        <v>25.5</v>
      </c>
      <c r="O43" s="134"/>
      <c r="P43" s="134"/>
      <c r="Q43" s="134"/>
      <c r="R43" s="134"/>
      <c r="S43" s="94">
        <f t="shared" si="7"/>
        <v>25.5</v>
      </c>
      <c r="T43" s="90">
        <v>63.5</v>
      </c>
      <c r="U43" s="125" t="str">
        <f t="shared" si="2"/>
        <v>7/Д (добар)</v>
      </c>
      <c r="V43" s="120">
        <f t="shared" si="5"/>
        <v>1</v>
      </c>
      <c r="W43" s="138" t="s">
        <v>60</v>
      </c>
      <c r="X43" s="148" t="s">
        <v>143</v>
      </c>
    </row>
    <row r="44" spans="1:24" ht="15" customHeight="1" x14ac:dyDescent="0.35">
      <c r="A44" s="131">
        <v>33</v>
      </c>
      <c r="B44" s="152" t="s">
        <v>167</v>
      </c>
      <c r="C44" s="142" t="s">
        <v>122</v>
      </c>
      <c r="D44" s="37"/>
      <c r="E44" s="38" t="e">
        <f t="shared" si="0"/>
        <v>#REF!</v>
      </c>
      <c r="F44" s="146">
        <v>61</v>
      </c>
      <c r="G44" s="39">
        <v>16</v>
      </c>
      <c r="H44" s="39">
        <v>17.5</v>
      </c>
      <c r="I44" s="40">
        <f t="shared" si="10"/>
        <v>33.5</v>
      </c>
      <c r="J44" s="134"/>
      <c r="K44" s="134"/>
      <c r="L44" s="134">
        <v>24</v>
      </c>
      <c r="M44" s="134"/>
      <c r="N44" s="134"/>
      <c r="O44" s="134"/>
      <c r="P44" s="134"/>
      <c r="Q44" s="134"/>
      <c r="R44" s="134"/>
      <c r="S44" s="94">
        <f t="shared" si="7"/>
        <v>24</v>
      </c>
      <c r="T44" s="90">
        <v>85</v>
      </c>
      <c r="U44" s="125" t="str">
        <f t="shared" si="2"/>
        <v>9/Б (одличан)</v>
      </c>
      <c r="V44" s="120">
        <f t="shared" si="5"/>
        <v>1</v>
      </c>
      <c r="W44" s="138" t="s">
        <v>60</v>
      </c>
      <c r="X44" s="148" t="s">
        <v>144</v>
      </c>
    </row>
    <row r="45" spans="1:24" ht="15" customHeight="1" x14ac:dyDescent="0.35">
      <c r="A45" s="131">
        <v>34</v>
      </c>
      <c r="B45" s="152" t="s">
        <v>173</v>
      </c>
      <c r="C45" s="142" t="s">
        <v>123</v>
      </c>
      <c r="D45" s="37"/>
      <c r="E45" s="38" t="e">
        <f t="shared" si="0"/>
        <v>#REF!</v>
      </c>
      <c r="F45" s="146">
        <v>51</v>
      </c>
      <c r="G45" s="39">
        <v>14</v>
      </c>
      <c r="H45" s="39">
        <v>15</v>
      </c>
      <c r="I45" s="40">
        <f t="shared" si="10"/>
        <v>29</v>
      </c>
      <c r="J45" s="134"/>
      <c r="K45" s="134">
        <v>18</v>
      </c>
      <c r="L45" s="134"/>
      <c r="M45" s="134"/>
      <c r="N45" s="134"/>
      <c r="O45" s="134"/>
      <c r="P45" s="134"/>
      <c r="Q45" s="134"/>
      <c r="R45" s="134"/>
      <c r="S45" s="94">
        <f>IF(ISBLANK(Q45),IF(ISBLANK(P45),IF(ISBLANK(O45),IF(ISBLANK(N45),IF(ISBLANK(M45),IF(ISBLANK(L45),IF(ISBLANK(K45),IF(ISBLANK(J45),"није излазио/ла",J45),K45),L45),M45),N45),O45),P45),Q45)</f>
        <v>18</v>
      </c>
      <c r="T45" s="90">
        <v>69</v>
      </c>
      <c r="U45" s="125" t="str">
        <f t="shared" si="2"/>
        <v>7/Д (добар)</v>
      </c>
      <c r="V45" s="120">
        <f t="shared" si="5"/>
        <v>1</v>
      </c>
      <c r="W45" s="138" t="s">
        <v>60</v>
      </c>
      <c r="X45" s="148" t="s">
        <v>146</v>
      </c>
    </row>
    <row r="46" spans="1:24" ht="15" customHeight="1" x14ac:dyDescent="0.35">
      <c r="A46" s="131">
        <v>35</v>
      </c>
      <c r="B46" s="152" t="s">
        <v>156</v>
      </c>
      <c r="C46" s="142" t="s">
        <v>124</v>
      </c>
      <c r="D46" s="37"/>
      <c r="E46" s="38" t="e">
        <f t="shared" si="0"/>
        <v>#REF!</v>
      </c>
      <c r="F46" s="146">
        <v>42</v>
      </c>
      <c r="G46" s="39">
        <v>16</v>
      </c>
      <c r="H46" s="39">
        <v>16.5</v>
      </c>
      <c r="I46" s="40">
        <f t="shared" si="10"/>
        <v>32.5</v>
      </c>
      <c r="J46" s="134"/>
      <c r="K46" s="135"/>
      <c r="L46" s="134">
        <v>5</v>
      </c>
      <c r="M46" s="134" t="s">
        <v>61</v>
      </c>
      <c r="N46" s="134">
        <v>21</v>
      </c>
      <c r="O46" s="134"/>
      <c r="P46" s="134"/>
      <c r="Q46" s="134"/>
      <c r="R46" s="134"/>
      <c r="S46" s="94">
        <f>IF(ISBLANK(Q46),IF(ISBLANK(P46),IF(ISBLANK(O46),IF(ISBLANK(N46),IF(ISBLANK(M46),IF(ISBLANK(L46),IF(ISBLANK(K46),IF(ISBLANK(J46),"није излазио/ла",J46),K46),L46),M46),N46),O46),P46),Q46)</f>
        <v>21</v>
      </c>
      <c r="T46" s="90">
        <v>63</v>
      </c>
      <c r="U46" s="125" t="str">
        <f t="shared" si="2"/>
        <v>7/Д (добар)</v>
      </c>
      <c r="V46" s="120">
        <f t="shared" si="5"/>
        <v>3</v>
      </c>
      <c r="W46" s="138" t="s">
        <v>60</v>
      </c>
      <c r="X46" s="148" t="s">
        <v>56</v>
      </c>
    </row>
    <row r="47" spans="1:24" ht="15" customHeight="1" x14ac:dyDescent="0.35">
      <c r="A47" s="131">
        <v>36</v>
      </c>
      <c r="B47" s="152" t="s">
        <v>174</v>
      </c>
      <c r="C47" s="143" t="s">
        <v>125</v>
      </c>
      <c r="D47" s="37"/>
      <c r="E47" s="38" t="e">
        <f t="shared" si="0"/>
        <v>#REF!</v>
      </c>
      <c r="F47" s="146">
        <v>49</v>
      </c>
      <c r="G47" s="39">
        <v>17</v>
      </c>
      <c r="H47" s="39">
        <v>14</v>
      </c>
      <c r="I47" s="40">
        <f t="shared" si="10"/>
        <v>31</v>
      </c>
      <c r="J47" s="134"/>
      <c r="K47" s="134"/>
      <c r="L47" s="134">
        <v>18</v>
      </c>
      <c r="M47" s="134"/>
      <c r="N47" s="134"/>
      <c r="O47" s="134"/>
      <c r="P47" s="134"/>
      <c r="Q47" s="134"/>
      <c r="R47" s="134"/>
      <c r="S47" s="94">
        <f t="shared" ref="S47:S63" si="11">IF(ISBLANK(Q47),IF(ISBLANK(P47),IF(ISBLANK(O47),IF(ISBLANK(N47),IF(ISBLANK(M47),IF(ISBLANK(L47),IF(ISBLANK(K47),IF(ISBLANK(J47),"није излазио/ла",J47),K47),L47),M47),N47),O47),P47),Q47)</f>
        <v>18</v>
      </c>
      <c r="T47" s="90">
        <v>67</v>
      </c>
      <c r="U47" s="125" t="str">
        <f t="shared" si="2"/>
        <v>7/Д (добар)</v>
      </c>
      <c r="V47" s="120">
        <f t="shared" si="5"/>
        <v>1</v>
      </c>
      <c r="W47" s="138" t="s">
        <v>60</v>
      </c>
      <c r="X47" s="148" t="s">
        <v>57</v>
      </c>
    </row>
    <row r="48" spans="1:24" ht="15" customHeight="1" x14ac:dyDescent="0.35">
      <c r="A48" s="132">
        <v>37</v>
      </c>
      <c r="B48" s="152" t="s">
        <v>189</v>
      </c>
      <c r="C48" s="143" t="s">
        <v>126</v>
      </c>
      <c r="D48" s="37"/>
      <c r="E48" s="53" t="e">
        <f t="shared" si="0"/>
        <v>#REF!</v>
      </c>
      <c r="F48" s="155">
        <v>49</v>
      </c>
      <c r="G48" s="54">
        <v>13</v>
      </c>
      <c r="H48" s="54">
        <v>11</v>
      </c>
      <c r="I48" s="55">
        <f t="shared" si="10"/>
        <v>24</v>
      </c>
      <c r="J48" s="136"/>
      <c r="K48" s="136"/>
      <c r="L48" s="136"/>
      <c r="M48" s="136"/>
      <c r="N48" s="136"/>
      <c r="O48" s="136"/>
      <c r="P48" s="136"/>
      <c r="Q48" s="136"/>
      <c r="R48" s="136"/>
      <c r="S48" s="97" t="str">
        <f t="shared" si="11"/>
        <v>није излазио/ла</v>
      </c>
      <c r="T48" s="90">
        <v>49</v>
      </c>
      <c r="U48" s="128" t="str">
        <f t="shared" si="2"/>
        <v>5/Ф (није положио)</v>
      </c>
      <c r="V48" s="123">
        <f t="shared" si="5"/>
        <v>0</v>
      </c>
      <c r="W48" s="139" t="s">
        <v>60</v>
      </c>
      <c r="X48" s="149"/>
    </row>
    <row r="49" spans="1:24" ht="15" customHeight="1" x14ac:dyDescent="0.35">
      <c r="A49" s="131">
        <v>38</v>
      </c>
      <c r="B49" s="152" t="s">
        <v>185</v>
      </c>
      <c r="C49" s="142" t="s">
        <v>127</v>
      </c>
      <c r="D49" s="37"/>
      <c r="E49" s="38" t="e">
        <f t="shared" si="0"/>
        <v>#REF!</v>
      </c>
      <c r="F49" s="146">
        <v>42</v>
      </c>
      <c r="G49" s="39">
        <v>12.5</v>
      </c>
      <c r="H49" s="39">
        <v>15</v>
      </c>
      <c r="I49" s="40">
        <f t="shared" si="10"/>
        <v>27.5</v>
      </c>
      <c r="J49" s="134"/>
      <c r="K49" s="134"/>
      <c r="L49" s="134"/>
      <c r="M49" s="134"/>
      <c r="N49" s="134"/>
      <c r="O49" s="134"/>
      <c r="P49" s="134"/>
      <c r="Q49" s="134"/>
      <c r="R49" s="134"/>
      <c r="S49" s="94" t="str">
        <f t="shared" si="11"/>
        <v>није излазио/ла</v>
      </c>
      <c r="T49" s="90">
        <v>42</v>
      </c>
      <c r="U49" s="125" t="str">
        <f t="shared" si="2"/>
        <v>5/Ф (није положио)</v>
      </c>
      <c r="V49" s="120">
        <f t="shared" si="5"/>
        <v>0</v>
      </c>
      <c r="W49" s="138" t="s">
        <v>60</v>
      </c>
      <c r="X49" s="148" t="s">
        <v>56</v>
      </c>
    </row>
    <row r="50" spans="1:24" ht="15" customHeight="1" x14ac:dyDescent="0.35">
      <c r="A50" s="131">
        <v>39</v>
      </c>
      <c r="B50" s="152" t="s">
        <v>183</v>
      </c>
      <c r="C50" s="147" t="s">
        <v>128</v>
      </c>
      <c r="D50" s="37"/>
      <c r="E50" s="38" t="e">
        <f t="shared" si="0"/>
        <v>#REF!</v>
      </c>
      <c r="F50" s="155">
        <v>42</v>
      </c>
      <c r="G50" s="39">
        <v>11.5</v>
      </c>
      <c r="H50" s="39">
        <v>14</v>
      </c>
      <c r="I50" s="40">
        <f t="shared" si="10"/>
        <v>25.5</v>
      </c>
      <c r="J50" s="134"/>
      <c r="K50" s="134"/>
      <c r="L50" s="134"/>
      <c r="M50" s="134"/>
      <c r="N50" s="134"/>
      <c r="O50" s="134"/>
      <c r="P50" s="134"/>
      <c r="Q50" s="134"/>
      <c r="R50" s="134"/>
      <c r="S50" s="94" t="str">
        <f t="shared" si="11"/>
        <v>није излазио/ла</v>
      </c>
      <c r="T50" s="90">
        <v>42</v>
      </c>
      <c r="U50" s="125" t="str">
        <f t="shared" si="2"/>
        <v>5/Ф (није положио)</v>
      </c>
      <c r="V50" s="120">
        <f t="shared" si="5"/>
        <v>0</v>
      </c>
      <c r="W50" s="138" t="s">
        <v>60</v>
      </c>
      <c r="X50" s="149"/>
    </row>
    <row r="51" spans="1:24" ht="15" customHeight="1" x14ac:dyDescent="0.35">
      <c r="A51" s="131">
        <v>40</v>
      </c>
      <c r="B51" s="152" t="s">
        <v>197</v>
      </c>
      <c r="C51" s="142" t="s">
        <v>129</v>
      </c>
      <c r="D51" s="37"/>
      <c r="E51" s="38" t="e">
        <f t="shared" si="0"/>
        <v>#REF!</v>
      </c>
      <c r="F51" s="146">
        <v>42</v>
      </c>
      <c r="G51" s="39">
        <v>13.5</v>
      </c>
      <c r="H51" s="39">
        <v>12</v>
      </c>
      <c r="I51" s="40">
        <f t="shared" si="10"/>
        <v>25.5</v>
      </c>
      <c r="J51" s="134"/>
      <c r="K51" s="134"/>
      <c r="L51" s="134"/>
      <c r="M51" s="134"/>
      <c r="N51" s="134"/>
      <c r="O51" s="134"/>
      <c r="P51" s="134"/>
      <c r="Q51" s="134"/>
      <c r="R51" s="134"/>
      <c r="S51" s="94" t="str">
        <f t="shared" si="11"/>
        <v>није излазио/ла</v>
      </c>
      <c r="T51" s="90">
        <v>42</v>
      </c>
      <c r="U51" s="125" t="str">
        <f t="shared" si="2"/>
        <v>5/Ф (није положио)</v>
      </c>
      <c r="V51" s="120">
        <f t="shared" si="5"/>
        <v>0</v>
      </c>
      <c r="W51" s="138" t="s">
        <v>60</v>
      </c>
      <c r="X51" s="148" t="s">
        <v>56</v>
      </c>
    </row>
    <row r="52" spans="1:24" ht="15" customHeight="1" x14ac:dyDescent="0.35">
      <c r="A52" s="131">
        <v>41</v>
      </c>
      <c r="B52" s="152" t="s">
        <v>175</v>
      </c>
      <c r="C52" s="142" t="s">
        <v>130</v>
      </c>
      <c r="D52" s="37"/>
      <c r="E52" s="38" t="e">
        <f t="shared" si="0"/>
        <v>#REF!</v>
      </c>
      <c r="F52" s="146">
        <v>61</v>
      </c>
      <c r="G52" s="39">
        <v>13.5</v>
      </c>
      <c r="H52" s="39">
        <v>5</v>
      </c>
      <c r="I52" s="40">
        <f t="shared" ref="I52:I53" si="12">SUM(G52:H52)</f>
        <v>18.5</v>
      </c>
      <c r="J52" s="134"/>
      <c r="K52" s="134"/>
      <c r="L52" s="134">
        <v>24</v>
      </c>
      <c r="M52" s="134"/>
      <c r="N52" s="134"/>
      <c r="O52" s="134"/>
      <c r="P52" s="134"/>
      <c r="Q52" s="134"/>
      <c r="R52" s="134"/>
      <c r="S52" s="94">
        <f t="shared" si="11"/>
        <v>24</v>
      </c>
      <c r="T52" s="90">
        <v>85</v>
      </c>
      <c r="U52" s="125" t="str">
        <f t="shared" si="2"/>
        <v>9/Б (одличан)</v>
      </c>
      <c r="V52" s="120">
        <f t="shared" si="5"/>
        <v>1</v>
      </c>
      <c r="W52" s="138" t="s">
        <v>60</v>
      </c>
      <c r="X52" s="148" t="s">
        <v>144</v>
      </c>
    </row>
    <row r="53" spans="1:24" ht="15" customHeight="1" x14ac:dyDescent="0.35">
      <c r="A53" s="131">
        <v>42</v>
      </c>
      <c r="B53" s="152" t="s">
        <v>176</v>
      </c>
      <c r="C53" s="142" t="s">
        <v>131</v>
      </c>
      <c r="D53" s="37"/>
      <c r="E53" s="38" t="e">
        <f t="shared" si="0"/>
        <v>#REF!</v>
      </c>
      <c r="F53" s="146">
        <v>51</v>
      </c>
      <c r="G53" s="39">
        <v>14.5</v>
      </c>
      <c r="H53" s="39">
        <v>5</v>
      </c>
      <c r="I53" s="40">
        <f t="shared" si="12"/>
        <v>19.5</v>
      </c>
      <c r="J53" s="134"/>
      <c r="K53" s="134">
        <v>5</v>
      </c>
      <c r="L53" s="134"/>
      <c r="M53" s="134"/>
      <c r="N53" s="134">
        <v>5</v>
      </c>
      <c r="O53" s="134"/>
      <c r="P53" s="134"/>
      <c r="Q53" s="134"/>
      <c r="R53" s="134"/>
      <c r="S53" s="94">
        <f t="shared" si="11"/>
        <v>5</v>
      </c>
      <c r="T53" s="90">
        <v>51</v>
      </c>
      <c r="U53" s="125" t="str">
        <f t="shared" si="2"/>
        <v>6/Е (довољан)</v>
      </c>
      <c r="V53" s="120">
        <f t="shared" si="5"/>
        <v>2</v>
      </c>
      <c r="W53" s="138" t="s">
        <v>60</v>
      </c>
      <c r="X53" s="148" t="s">
        <v>146</v>
      </c>
    </row>
    <row r="54" spans="1:24" ht="15" customHeight="1" x14ac:dyDescent="0.35">
      <c r="A54" s="131">
        <v>43</v>
      </c>
      <c r="B54" s="153" t="s">
        <v>192</v>
      </c>
      <c r="C54" s="142" t="s">
        <v>132</v>
      </c>
      <c r="D54" s="37"/>
      <c r="E54" s="38" t="e">
        <f t="shared" si="0"/>
        <v>#REF!</v>
      </c>
      <c r="F54" s="146">
        <v>49</v>
      </c>
      <c r="G54" s="39">
        <v>14.5</v>
      </c>
      <c r="H54" s="39">
        <v>15</v>
      </c>
      <c r="I54" s="40">
        <f t="shared" ref="I54:I63" si="13">SUMIF(G54:H54,"&gt;10")</f>
        <v>29.5</v>
      </c>
      <c r="J54" s="134"/>
      <c r="K54" s="134"/>
      <c r="L54" s="134"/>
      <c r="M54" s="134"/>
      <c r="N54" s="134"/>
      <c r="O54" s="134"/>
      <c r="P54" s="134"/>
      <c r="Q54" s="134"/>
      <c r="R54" s="134"/>
      <c r="S54" s="94" t="str">
        <f t="shared" si="11"/>
        <v>није излазио/ла</v>
      </c>
      <c r="T54" s="90">
        <v>49</v>
      </c>
      <c r="U54" s="125" t="str">
        <f t="shared" si="2"/>
        <v>5/Ф (није положио)</v>
      </c>
      <c r="V54" s="120">
        <f t="shared" si="5"/>
        <v>0</v>
      </c>
      <c r="W54" s="138" t="s">
        <v>60</v>
      </c>
      <c r="X54" s="148" t="s">
        <v>57</v>
      </c>
    </row>
    <row r="55" spans="1:24" ht="15" customHeight="1" x14ac:dyDescent="0.35">
      <c r="A55" s="131">
        <v>44</v>
      </c>
      <c r="B55" s="133" t="s">
        <v>158</v>
      </c>
      <c r="C55" s="144" t="s">
        <v>133</v>
      </c>
      <c r="D55" s="43"/>
      <c r="E55" s="44" t="e">
        <f t="shared" si="0"/>
        <v>#REF!</v>
      </c>
      <c r="F55" s="146" t="s">
        <v>61</v>
      </c>
      <c r="G55" s="45" t="s">
        <v>62</v>
      </c>
      <c r="H55" s="45">
        <v>5</v>
      </c>
      <c r="I55" s="46">
        <f t="shared" si="13"/>
        <v>0</v>
      </c>
      <c r="J55" s="134"/>
      <c r="K55" s="134"/>
      <c r="L55" s="134"/>
      <c r="M55" s="134"/>
      <c r="N55" s="134"/>
      <c r="O55" s="134"/>
      <c r="P55" s="134"/>
      <c r="Q55" s="134"/>
      <c r="R55" s="134"/>
      <c r="S55" s="95" t="str">
        <f t="shared" si="11"/>
        <v>није излазио/ла</v>
      </c>
      <c r="T55" s="91">
        <f t="shared" si="6"/>
        <v>0</v>
      </c>
      <c r="U55" s="126" t="str">
        <f t="shared" si="2"/>
        <v>5/Ф (није положио)</v>
      </c>
      <c r="V55" s="121">
        <f t="shared" si="5"/>
        <v>0</v>
      </c>
      <c r="W55" s="138" t="s">
        <v>60</v>
      </c>
      <c r="X55" s="148" t="s">
        <v>145</v>
      </c>
    </row>
    <row r="56" spans="1:24" ht="15" customHeight="1" x14ac:dyDescent="0.35">
      <c r="A56" s="131">
        <v>45</v>
      </c>
      <c r="B56" s="133" t="s">
        <v>159</v>
      </c>
      <c r="C56" s="142" t="s">
        <v>134</v>
      </c>
      <c r="D56" s="37"/>
      <c r="E56" s="38" t="e">
        <f t="shared" si="0"/>
        <v>#REF!</v>
      </c>
      <c r="F56" s="146">
        <v>38</v>
      </c>
      <c r="G56" s="39"/>
      <c r="H56" s="39"/>
      <c r="I56" s="40">
        <f t="shared" si="13"/>
        <v>0</v>
      </c>
      <c r="J56" s="134"/>
      <c r="K56" s="134"/>
      <c r="L56" s="134"/>
      <c r="M56" s="134"/>
      <c r="N56" s="134"/>
      <c r="O56" s="134"/>
      <c r="P56" s="134"/>
      <c r="Q56" s="134"/>
      <c r="R56" s="134"/>
      <c r="S56" s="94" t="str">
        <f t="shared" si="11"/>
        <v>није излазио/ла</v>
      </c>
      <c r="T56" s="90" t="str">
        <f t="shared" ref="T56" si="14">IF(D56="нема услов","нема услов",IF(F56="негативно","нема услов",IF(S56="није излазио/ла","није полагао/ла",IF(S56&lt;24.9,0,IF(S56="није полагао/ла",0,SUM(F56,I56,S56))))))</f>
        <v>није полагао/ла</v>
      </c>
      <c r="U56" s="125" t="str">
        <f t="shared" si="2"/>
        <v>није полагао/ла</v>
      </c>
      <c r="V56" s="120">
        <f t="shared" si="5"/>
        <v>0</v>
      </c>
      <c r="W56" s="138" t="s">
        <v>60</v>
      </c>
      <c r="X56" s="148" t="s">
        <v>143</v>
      </c>
    </row>
    <row r="57" spans="1:24" s="85" customFormat="1" ht="15" customHeight="1" x14ac:dyDescent="0.35">
      <c r="A57" s="131">
        <v>46</v>
      </c>
      <c r="B57" s="133" t="s">
        <v>200</v>
      </c>
      <c r="C57" s="145" t="s">
        <v>135</v>
      </c>
      <c r="D57" s="37"/>
      <c r="E57" s="38" t="e">
        <f t="shared" si="0"/>
        <v>#REF!</v>
      </c>
      <c r="F57" s="146">
        <v>42</v>
      </c>
      <c r="G57" s="50"/>
      <c r="H57" s="50"/>
      <c r="I57" s="40"/>
      <c r="J57" s="134"/>
      <c r="K57" s="134">
        <v>5</v>
      </c>
      <c r="L57" s="134">
        <v>5</v>
      </c>
      <c r="M57" s="134"/>
      <c r="N57" s="134">
        <v>5</v>
      </c>
      <c r="O57" s="134"/>
      <c r="P57" s="134"/>
      <c r="Q57" s="134"/>
      <c r="R57" s="134"/>
      <c r="S57" s="94">
        <f>IF(ISBLANK(Q57),IF(ISBLANK(P57),IF(ISBLANK(O57),IF(ISBLANK(N57),IF(ISBLANK(M57),IF(ISBLANK(L57),IF(ISBLANK(K57),IF(ISBLANK(J57),"није излазио/ла",J57),K57),L57),M57),N57),O57),P57),Q57)</f>
        <v>5</v>
      </c>
      <c r="T57" s="90">
        <v>42</v>
      </c>
      <c r="U57" s="125"/>
      <c r="V57" s="120"/>
      <c r="W57" s="138"/>
      <c r="X57" s="148" t="s">
        <v>56</v>
      </c>
    </row>
    <row r="58" spans="1:24" s="85" customFormat="1" ht="15" customHeight="1" x14ac:dyDescent="0.35">
      <c r="A58" s="131">
        <v>47</v>
      </c>
      <c r="B58" s="133" t="s">
        <v>204</v>
      </c>
      <c r="C58" s="142" t="s">
        <v>136</v>
      </c>
      <c r="D58" s="37"/>
      <c r="E58" s="38"/>
      <c r="F58" s="146">
        <v>42</v>
      </c>
      <c r="G58" s="50"/>
      <c r="H58" s="50"/>
      <c r="I58" s="40"/>
      <c r="J58" s="134"/>
      <c r="K58" s="134"/>
      <c r="L58" s="134"/>
      <c r="M58" s="134"/>
      <c r="N58" s="134">
        <v>18</v>
      </c>
      <c r="O58" s="134"/>
      <c r="P58" s="134"/>
      <c r="Q58" s="134"/>
      <c r="R58" s="134"/>
      <c r="S58" s="94">
        <f t="shared" ref="S58:S62" si="15">IF(ISBLANK(Q58),IF(ISBLANK(P58),IF(ISBLANK(O58),IF(ISBLANK(N58),IF(ISBLANK(M58),IF(ISBLANK(L58),IF(ISBLANK(K58),IF(ISBLANK(J58),"није излазио/ла",J58),K58),L58),M58),N58),O58),P58),Q58)</f>
        <v>18</v>
      </c>
      <c r="T58" s="90">
        <v>60</v>
      </c>
      <c r="U58" s="125" t="str">
        <f t="shared" si="2"/>
        <v>6/Е (довољан)</v>
      </c>
      <c r="V58" s="120"/>
      <c r="W58" s="138"/>
      <c r="X58" s="148" t="s">
        <v>56</v>
      </c>
    </row>
    <row r="59" spans="1:24" s="85" customFormat="1" ht="15" customHeight="1" x14ac:dyDescent="0.35">
      <c r="A59" s="131">
        <v>48</v>
      </c>
      <c r="B59" s="133" t="s">
        <v>157</v>
      </c>
      <c r="C59" s="142" t="s">
        <v>137</v>
      </c>
      <c r="D59" s="37"/>
      <c r="E59" s="38"/>
      <c r="F59" s="146">
        <v>51</v>
      </c>
      <c r="G59" s="50"/>
      <c r="H59" s="50"/>
      <c r="I59" s="40"/>
      <c r="J59" s="134"/>
      <c r="K59" s="134"/>
      <c r="L59" s="134">
        <v>18</v>
      </c>
      <c r="M59" s="134"/>
      <c r="N59" s="134"/>
      <c r="O59" s="134"/>
      <c r="P59" s="134"/>
      <c r="Q59" s="134"/>
      <c r="R59" s="134"/>
      <c r="S59" s="94">
        <f t="shared" si="15"/>
        <v>18</v>
      </c>
      <c r="T59" s="90">
        <v>69</v>
      </c>
      <c r="U59" s="125" t="str">
        <f t="shared" si="2"/>
        <v>7/Д (добар)</v>
      </c>
      <c r="V59" s="120"/>
      <c r="W59" s="138"/>
      <c r="X59" s="148" t="s">
        <v>146</v>
      </c>
    </row>
    <row r="60" spans="1:24" s="85" customFormat="1" ht="15" customHeight="1" x14ac:dyDescent="0.35">
      <c r="A60" s="131">
        <v>49</v>
      </c>
      <c r="B60" s="133" t="s">
        <v>177</v>
      </c>
      <c r="C60" s="142" t="s">
        <v>138</v>
      </c>
      <c r="D60" s="37"/>
      <c r="E60" s="38"/>
      <c r="F60" s="146">
        <v>49</v>
      </c>
      <c r="G60" s="50"/>
      <c r="H60" s="50"/>
      <c r="I60" s="40"/>
      <c r="J60" s="134"/>
      <c r="K60" s="134">
        <v>5</v>
      </c>
      <c r="L60" s="134">
        <v>5</v>
      </c>
      <c r="M60" s="134" t="s">
        <v>61</v>
      </c>
      <c r="N60" s="134">
        <v>5</v>
      </c>
      <c r="O60" s="134"/>
      <c r="P60" s="134"/>
      <c r="Q60" s="134"/>
      <c r="R60" s="134"/>
      <c r="S60" s="94">
        <f t="shared" si="15"/>
        <v>5</v>
      </c>
      <c r="T60" s="90">
        <v>49</v>
      </c>
      <c r="U60" s="125" t="str">
        <f t="shared" si="2"/>
        <v>5/Ф (није положио)</v>
      </c>
      <c r="V60" s="120"/>
      <c r="W60" s="138"/>
      <c r="X60" s="148" t="s">
        <v>57</v>
      </c>
    </row>
    <row r="61" spans="1:24" s="85" customFormat="1" ht="15" customHeight="1" x14ac:dyDescent="0.35">
      <c r="A61" s="131">
        <v>50</v>
      </c>
      <c r="B61" s="133" t="s">
        <v>178</v>
      </c>
      <c r="C61" s="142" t="s">
        <v>139</v>
      </c>
      <c r="D61" s="37"/>
      <c r="E61" s="38"/>
      <c r="F61" s="146">
        <v>44</v>
      </c>
      <c r="G61" s="50"/>
      <c r="H61" s="50"/>
      <c r="I61" s="40"/>
      <c r="J61" s="134"/>
      <c r="K61" s="134"/>
      <c r="L61" s="134"/>
      <c r="M61" s="134"/>
      <c r="N61" s="134"/>
      <c r="O61" s="134"/>
      <c r="P61" s="134"/>
      <c r="Q61" s="134"/>
      <c r="R61" s="134"/>
      <c r="S61" s="94" t="str">
        <f t="shared" si="15"/>
        <v>није излазио/ла</v>
      </c>
      <c r="T61" s="90">
        <v>44</v>
      </c>
      <c r="U61" s="125"/>
      <c r="V61" s="120"/>
      <c r="W61" s="138"/>
      <c r="X61" s="148" t="s">
        <v>148</v>
      </c>
    </row>
    <row r="62" spans="1:24" s="85" customFormat="1" ht="15" customHeight="1" x14ac:dyDescent="0.35">
      <c r="A62" s="131">
        <v>51</v>
      </c>
      <c r="B62" s="133" t="s">
        <v>179</v>
      </c>
      <c r="C62" s="143" t="s">
        <v>140</v>
      </c>
      <c r="D62" s="37"/>
      <c r="E62" s="38"/>
      <c r="F62" s="146">
        <v>49</v>
      </c>
      <c r="G62" s="50"/>
      <c r="H62" s="50"/>
      <c r="I62" s="40"/>
      <c r="J62" s="134"/>
      <c r="K62" s="134"/>
      <c r="L62" s="134"/>
      <c r="M62" s="134"/>
      <c r="N62" s="134"/>
      <c r="O62" s="134"/>
      <c r="P62" s="134"/>
      <c r="Q62" s="134"/>
      <c r="R62" s="134"/>
      <c r="S62" s="94" t="str">
        <f t="shared" si="15"/>
        <v>није излазио/ла</v>
      </c>
      <c r="T62" s="90">
        <v>49</v>
      </c>
      <c r="U62" s="125"/>
      <c r="V62" s="120"/>
      <c r="W62" s="138"/>
      <c r="X62" s="148" t="s">
        <v>57</v>
      </c>
    </row>
    <row r="63" spans="1:24" ht="15" customHeight="1" x14ac:dyDescent="0.35">
      <c r="A63" s="51">
        <v>52</v>
      </c>
      <c r="B63" s="56" t="s">
        <v>180</v>
      </c>
      <c r="C63" s="142" t="s">
        <v>141</v>
      </c>
      <c r="D63" s="37"/>
      <c r="E63" s="38" t="e">
        <f t="shared" si="0"/>
        <v>#REF!</v>
      </c>
      <c r="F63" s="146">
        <v>51</v>
      </c>
      <c r="G63" s="39"/>
      <c r="H63" s="39"/>
      <c r="I63" s="40">
        <f t="shared" si="13"/>
        <v>0</v>
      </c>
      <c r="J63" s="134"/>
      <c r="K63" s="134"/>
      <c r="L63" s="134"/>
      <c r="M63" s="134"/>
      <c r="N63" s="134">
        <v>5</v>
      </c>
      <c r="O63" s="134"/>
      <c r="P63" s="134"/>
      <c r="Q63" s="134"/>
      <c r="R63" s="134"/>
      <c r="S63" s="94">
        <f t="shared" si="11"/>
        <v>5</v>
      </c>
      <c r="T63" s="90">
        <v>51</v>
      </c>
      <c r="U63" s="125" t="str">
        <f t="shared" si="2"/>
        <v>6/Е (довољан)</v>
      </c>
      <c r="V63" s="120">
        <f t="shared" si="5"/>
        <v>1</v>
      </c>
      <c r="W63" s="138" t="s">
        <v>60</v>
      </c>
      <c r="X63" s="148" t="s">
        <v>146</v>
      </c>
    </row>
    <row r="64" spans="1:24" ht="15" customHeight="1" x14ac:dyDescent="0.3">
      <c r="A64" s="57"/>
      <c r="B64" s="58"/>
      <c r="D64" s="57"/>
      <c r="E64" s="59"/>
      <c r="F64" s="59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60"/>
    </row>
    <row r="65" spans="1:23" ht="15" customHeight="1" x14ac:dyDescent="0.3">
      <c r="A65" s="57"/>
      <c r="B65" s="58"/>
      <c r="D65" s="57"/>
      <c r="E65" s="59"/>
      <c r="F65" s="59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61" t="s">
        <v>65</v>
      </c>
      <c r="U65" s="62" t="s">
        <v>66</v>
      </c>
      <c r="V65" s="63">
        <v>73</v>
      </c>
      <c r="W65" s="64"/>
    </row>
    <row r="66" spans="1:23" ht="12.75" customHeight="1" x14ac:dyDescent="0.3">
      <c r="A66" s="1"/>
      <c r="B66" s="4"/>
      <c r="D66" s="1"/>
      <c r="E66" s="65"/>
      <c r="F66" s="65"/>
      <c r="G66" s="66">
        <f t="shared" ref="G66:H66" si="16">COUNTIF(G6:G63,"&gt;10")</f>
        <v>39</v>
      </c>
      <c r="H66" s="66">
        <f t="shared" si="16"/>
        <v>31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67" t="s">
        <v>67</v>
      </c>
      <c r="U66" s="62" t="s">
        <v>68</v>
      </c>
      <c r="V66" s="63">
        <f>COUNTIF(T1:T81,"нема услов")</f>
        <v>0</v>
      </c>
      <c r="W66" s="5"/>
    </row>
    <row r="67" spans="1:23" ht="13.5" customHeight="1" x14ac:dyDescent="0.3">
      <c r="A67" s="1"/>
      <c r="B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69" t="s">
        <v>69</v>
      </c>
      <c r="U67" s="70" t="s">
        <v>70</v>
      </c>
      <c r="V67" s="71">
        <f>COUNTIF(T1:T81,"није полагао/ла")</f>
        <v>1</v>
      </c>
      <c r="W67" s="5"/>
    </row>
    <row r="68" spans="1:23" ht="12.75" customHeight="1" x14ac:dyDescent="0.3">
      <c r="A68" s="1"/>
      <c r="B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69" t="s">
        <v>64</v>
      </c>
      <c r="U68" s="70" t="s">
        <v>71</v>
      </c>
      <c r="V68" s="71">
        <f>COUNTIF(S1:S81,"&gt;=0")</f>
        <v>31</v>
      </c>
      <c r="W68" s="5"/>
    </row>
    <row r="69" spans="1:23" ht="12.75" customHeight="1" x14ac:dyDescent="0.3">
      <c r="A69" s="1"/>
      <c r="B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69" t="s">
        <v>72</v>
      </c>
      <c r="U69" s="70" t="s">
        <v>73</v>
      </c>
      <c r="V69" s="71">
        <f>COUNTIF(T1:T81,"&gt;50,9")</f>
        <v>9</v>
      </c>
      <c r="W69" s="5"/>
    </row>
    <row r="70" spans="1:23" ht="12.75" customHeight="1" x14ac:dyDescent="0.25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2" t="s">
        <v>74</v>
      </c>
      <c r="U70" s="73" t="s">
        <v>75</v>
      </c>
      <c r="V70" s="74">
        <f>COUNTIF(U1:U81,"5/Ф (није положио)")</f>
        <v>19</v>
      </c>
      <c r="W70" s="5"/>
    </row>
    <row r="71" spans="1:23" ht="12.75" customHeight="1" x14ac:dyDescent="0.25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5" t="s">
        <v>76</v>
      </c>
      <c r="U71" s="73" t="s">
        <v>77</v>
      </c>
      <c r="V71" s="74">
        <f>V65-V66-V69</f>
        <v>64</v>
      </c>
      <c r="W71" s="5"/>
    </row>
    <row r="72" spans="1:23" ht="12.75" customHeight="1" x14ac:dyDescent="0.25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"/>
      <c r="W72" s="5"/>
    </row>
    <row r="73" spans="1:23" ht="12.75" customHeight="1" x14ac:dyDescent="0.25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5"/>
    </row>
    <row r="74" spans="1:23" ht="12.75" customHeight="1" x14ac:dyDescent="0.25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"/>
      <c r="W74" s="5"/>
    </row>
    <row r="75" spans="1:23" ht="12.75" customHeight="1" x14ac:dyDescent="0.25">
      <c r="A75" s="1"/>
      <c r="B75" s="4"/>
      <c r="C75" s="6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"/>
      <c r="W75" s="5"/>
    </row>
    <row r="76" spans="1:23" ht="12.75" customHeight="1" x14ac:dyDescent="0.25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"/>
      <c r="W76" s="5"/>
    </row>
    <row r="77" spans="1:23" ht="14.25" customHeight="1" x14ac:dyDescent="0.25">
      <c r="A77" s="1"/>
      <c r="B77" s="4"/>
      <c r="C77" s="7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"/>
      <c r="W77" s="5"/>
    </row>
    <row r="78" spans="1:23" ht="14.25" customHeight="1" x14ac:dyDescent="0.25">
      <c r="A78" s="1"/>
      <c r="B78" s="4"/>
      <c r="C78" s="7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"/>
      <c r="W78" s="5"/>
    </row>
    <row r="79" spans="1:23" ht="14.25" customHeight="1" x14ac:dyDescent="0.25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"/>
      <c r="W79" s="5"/>
    </row>
    <row r="80" spans="1:23" ht="14.25" customHeight="1" x14ac:dyDescent="0.25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"/>
      <c r="W80" s="5"/>
    </row>
    <row r="81" spans="1:23" ht="14.25" customHeight="1" x14ac:dyDescent="0.25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"/>
      <c r="W81" s="5"/>
    </row>
    <row r="82" spans="1:23" ht="14.25" customHeight="1" x14ac:dyDescent="0.25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/>
      <c r="W82" s="5"/>
    </row>
    <row r="83" spans="1:23" ht="14.25" customHeight="1" x14ac:dyDescent="0.25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"/>
      <c r="W83" s="5"/>
    </row>
    <row r="84" spans="1:23" ht="14.25" customHeight="1" x14ac:dyDescent="0.25">
      <c r="A84" s="1"/>
      <c r="B84" s="4"/>
      <c r="C84" s="1"/>
      <c r="D84" s="7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"/>
      <c r="W84" s="5"/>
    </row>
    <row r="85" spans="1:23" ht="15" customHeight="1" x14ac:dyDescent="0.25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"/>
      <c r="W85" s="5"/>
    </row>
    <row r="86" spans="1:23" ht="15" customHeight="1" x14ac:dyDescent="0.25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"/>
      <c r="W86" s="5"/>
    </row>
    <row r="87" spans="1:23" ht="15" customHeight="1" x14ac:dyDescent="0.25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"/>
      <c r="W87" s="5"/>
    </row>
    <row r="88" spans="1:23" ht="12.75" customHeight="1" x14ac:dyDescent="0.25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"/>
      <c r="W88" s="5"/>
    </row>
    <row r="89" spans="1:23" ht="12.75" customHeight="1" x14ac:dyDescent="0.25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"/>
      <c r="W89" s="5"/>
    </row>
    <row r="90" spans="1:23" ht="12.75" customHeight="1" x14ac:dyDescent="0.25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"/>
      <c r="W90" s="5"/>
    </row>
    <row r="91" spans="1:23" ht="12.75" customHeight="1" x14ac:dyDescent="0.25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"/>
      <c r="W91" s="5"/>
    </row>
    <row r="92" spans="1:23" ht="12.75" customHeight="1" x14ac:dyDescent="0.25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"/>
      <c r="W92" s="5"/>
    </row>
    <row r="93" spans="1:23" ht="12.75" customHeight="1" x14ac:dyDescent="0.25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"/>
      <c r="W93" s="5"/>
    </row>
    <row r="94" spans="1:23" ht="12.75" customHeight="1" x14ac:dyDescent="0.25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"/>
      <c r="W94" s="5"/>
    </row>
    <row r="95" spans="1:23" ht="12.75" customHeight="1" x14ac:dyDescent="0.25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"/>
      <c r="W95" s="5"/>
    </row>
    <row r="96" spans="1:23" ht="12.75" customHeight="1" x14ac:dyDescent="0.25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"/>
      <c r="W96" s="5"/>
    </row>
    <row r="97" spans="1:23" ht="12.75" customHeight="1" x14ac:dyDescent="0.25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/>
      <c r="W97" s="5"/>
    </row>
    <row r="98" spans="1:23" ht="12.75" customHeight="1" x14ac:dyDescent="0.25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"/>
      <c r="W98" s="5"/>
    </row>
    <row r="99" spans="1:23" ht="12.75" customHeight="1" x14ac:dyDescent="0.25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"/>
      <c r="W99" s="5"/>
    </row>
    <row r="100" spans="1:23" ht="12.75" customHeight="1" x14ac:dyDescent="0.25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"/>
      <c r="W100" s="5"/>
    </row>
    <row r="101" spans="1:23" ht="12.75" customHeight="1" x14ac:dyDescent="0.25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"/>
      <c r="W101" s="5"/>
    </row>
    <row r="102" spans="1:23" ht="12.75" customHeight="1" x14ac:dyDescent="0.25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"/>
      <c r="W102" s="5"/>
    </row>
    <row r="103" spans="1:23" ht="12.75" customHeight="1" x14ac:dyDescent="0.25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"/>
      <c r="W103" s="5"/>
    </row>
    <row r="104" spans="1:23" ht="12.75" customHeight="1" x14ac:dyDescent="0.25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"/>
      <c r="W104" s="5"/>
    </row>
    <row r="105" spans="1:23" ht="12.75" customHeight="1" x14ac:dyDescent="0.25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"/>
      <c r="W105" s="5"/>
    </row>
    <row r="106" spans="1:23" ht="12.75" customHeight="1" x14ac:dyDescent="0.25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"/>
      <c r="W106" s="5"/>
    </row>
    <row r="107" spans="1:23" ht="12.75" customHeight="1" x14ac:dyDescent="0.25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"/>
      <c r="W107" s="5"/>
    </row>
    <row r="108" spans="1:23" ht="12.75" customHeight="1" x14ac:dyDescent="0.25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"/>
      <c r="W108" s="5"/>
    </row>
    <row r="109" spans="1:23" ht="12.75" customHeight="1" x14ac:dyDescent="0.25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"/>
      <c r="W109" s="5"/>
    </row>
    <row r="110" spans="1:23" ht="12.75" customHeight="1" x14ac:dyDescent="0.25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"/>
      <c r="W110" s="5"/>
    </row>
    <row r="111" spans="1:23" ht="12.75" customHeight="1" x14ac:dyDescent="0.25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"/>
      <c r="W111" s="5"/>
    </row>
    <row r="112" spans="1:23" ht="12.75" customHeight="1" x14ac:dyDescent="0.25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/>
      <c r="W112" s="5"/>
    </row>
    <row r="113" spans="1:23" ht="12.75" customHeight="1" x14ac:dyDescent="0.25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"/>
      <c r="W113" s="5"/>
    </row>
    <row r="114" spans="1:23" ht="12.75" customHeight="1" x14ac:dyDescent="0.25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"/>
      <c r="W114" s="5"/>
    </row>
    <row r="115" spans="1:23" ht="12.75" customHeight="1" x14ac:dyDescent="0.25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"/>
      <c r="W115" s="5"/>
    </row>
    <row r="116" spans="1:23" ht="12.75" customHeight="1" x14ac:dyDescent="0.25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"/>
      <c r="W116" s="5"/>
    </row>
    <row r="117" spans="1:23" ht="12.75" customHeight="1" x14ac:dyDescent="0.25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"/>
      <c r="W117" s="5"/>
    </row>
    <row r="118" spans="1:23" ht="12.75" customHeight="1" x14ac:dyDescent="0.25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"/>
      <c r="W118" s="5"/>
    </row>
    <row r="119" spans="1:23" ht="12.75" customHeight="1" x14ac:dyDescent="0.25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"/>
      <c r="W119" s="5"/>
    </row>
    <row r="120" spans="1:23" ht="12.75" customHeight="1" x14ac:dyDescent="0.25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"/>
      <c r="W120" s="5"/>
    </row>
    <row r="121" spans="1:23" ht="12.75" customHeight="1" x14ac:dyDescent="0.25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"/>
      <c r="W121" s="5"/>
    </row>
    <row r="122" spans="1:23" ht="12.75" customHeight="1" x14ac:dyDescent="0.25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"/>
      <c r="W122" s="5"/>
    </row>
    <row r="123" spans="1:23" ht="12.75" customHeight="1" x14ac:dyDescent="0.25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"/>
      <c r="W123" s="5"/>
    </row>
    <row r="124" spans="1:23" ht="12.75" customHeight="1" x14ac:dyDescent="0.25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"/>
      <c r="W124" s="5"/>
    </row>
    <row r="125" spans="1:23" ht="12.75" customHeight="1" x14ac:dyDescent="0.25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"/>
      <c r="W125" s="5"/>
    </row>
    <row r="126" spans="1:23" ht="12.75" customHeight="1" x14ac:dyDescent="0.25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"/>
      <c r="W126" s="5"/>
    </row>
    <row r="127" spans="1:23" ht="12.75" customHeight="1" x14ac:dyDescent="0.25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"/>
      <c r="W127" s="5"/>
    </row>
    <row r="128" spans="1:23" ht="12.75" customHeight="1" x14ac:dyDescent="0.25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"/>
      <c r="W128" s="5"/>
    </row>
    <row r="129" spans="1:23" ht="12.75" customHeight="1" x14ac:dyDescent="0.25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"/>
      <c r="W129" s="5"/>
    </row>
    <row r="130" spans="1:23" ht="12.75" customHeight="1" x14ac:dyDescent="0.25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"/>
      <c r="W130" s="5"/>
    </row>
    <row r="131" spans="1:23" ht="12.75" customHeight="1" x14ac:dyDescent="0.25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"/>
      <c r="W131" s="5"/>
    </row>
    <row r="132" spans="1:23" ht="12.75" customHeight="1" x14ac:dyDescent="0.25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"/>
      <c r="W132" s="5"/>
    </row>
    <row r="133" spans="1:23" ht="12.75" customHeight="1" x14ac:dyDescent="0.25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"/>
      <c r="W133" s="5"/>
    </row>
    <row r="134" spans="1:23" ht="12.75" customHeight="1" x14ac:dyDescent="0.25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"/>
      <c r="W134" s="5"/>
    </row>
    <row r="135" spans="1:23" ht="12.75" customHeight="1" x14ac:dyDescent="0.25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"/>
      <c r="W135" s="5"/>
    </row>
    <row r="136" spans="1:23" ht="12.75" customHeight="1" x14ac:dyDescent="0.25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"/>
      <c r="W136" s="5"/>
    </row>
    <row r="137" spans="1:23" ht="12.75" customHeight="1" x14ac:dyDescent="0.25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"/>
      <c r="W137" s="5"/>
    </row>
    <row r="138" spans="1:23" ht="12.75" customHeight="1" x14ac:dyDescent="0.25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"/>
      <c r="W138" s="5"/>
    </row>
    <row r="139" spans="1:23" ht="12.75" customHeight="1" x14ac:dyDescent="0.25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5"/>
    </row>
    <row r="140" spans="1:23" ht="12.75" customHeight="1" x14ac:dyDescent="0.25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"/>
      <c r="W140" s="5"/>
    </row>
    <row r="141" spans="1:23" ht="12.75" customHeight="1" x14ac:dyDescent="0.25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"/>
      <c r="W141" s="5"/>
    </row>
    <row r="142" spans="1:23" ht="12.75" customHeight="1" x14ac:dyDescent="0.25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"/>
      <c r="W142" s="5"/>
    </row>
    <row r="143" spans="1:23" ht="12.75" customHeight="1" x14ac:dyDescent="0.25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5"/>
    </row>
    <row r="144" spans="1:23" ht="12.75" customHeight="1" x14ac:dyDescent="0.25">
      <c r="A144" s="1"/>
      <c r="B144" s="4"/>
      <c r="C144" s="1"/>
      <c r="D144" s="1"/>
      <c r="E144" s="1"/>
      <c r="F144" s="1"/>
      <c r="G144" s="1"/>
      <c r="H144" s="1"/>
      <c r="I144" s="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79"/>
      <c r="U144" s="1"/>
      <c r="V144" s="1"/>
      <c r="W144" s="13"/>
    </row>
    <row r="145" spans="1:23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.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.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.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.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.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.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.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.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.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.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.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.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.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.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.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.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.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.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.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.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.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.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.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.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.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.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.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.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.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.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.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.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.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.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.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.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.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.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.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.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.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.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.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.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.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.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.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.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.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.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.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.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.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.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.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2.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.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2.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.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.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.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.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.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.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.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.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.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.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.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2.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.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2.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.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.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.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.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.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.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.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.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.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.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.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.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.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.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.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.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.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.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.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.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.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.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.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2.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2.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2.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2.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2.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2.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2.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2.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2.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2.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2.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2.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2.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2.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2.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2.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2.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2.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2.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2.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2.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2.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2.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2.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2.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2.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2.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2.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2.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2.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2.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2.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2.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2.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2.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2.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2.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2.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2.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2.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2.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2.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2.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2.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2.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2.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2.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2.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2.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2.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2.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2.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2.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2.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2.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2.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2.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2.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2.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2.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2.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2.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2.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2.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2.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2.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2.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2.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2.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2.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2.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2.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2.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2.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2.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2.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2.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2.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2.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2.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2.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2.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2.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2.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2.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2.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2.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2.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2.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2.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2.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2.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2.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2.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2.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2.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2.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2.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2.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2.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2.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2.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2.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2.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2.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2.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2.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2.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2.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2.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2.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2.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2.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2.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2.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2.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2.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2.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2.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2.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2.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2.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2.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2.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2.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2.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2.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2.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2.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2.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2.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2.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2.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2.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2.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2.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2.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2.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2.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2.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2.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2.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2.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2.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2.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2.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2.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2.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2.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2.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2.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2.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2.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2.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2.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2.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2.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2.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2.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2.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2.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2.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2.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2.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2.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2.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2.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2.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2.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2.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2.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2.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2.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2.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2.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2.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2.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2.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2.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2.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2.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2.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2.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2.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2.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2.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2.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2.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2.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2.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2.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2.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2.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2.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2.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2.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2.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2.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2.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2.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2.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2.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2.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2.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2.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2.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2.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2.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2.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2.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2.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2.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2.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2.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2.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2.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2.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2.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2.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2.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2.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2.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2.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2.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2.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2.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2.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2.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2.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2.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2.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2.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2.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2.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2.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2.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2.5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2.5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2.5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2.5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2.5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2.5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2.5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2.5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2.5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2.5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2.5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2.5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2.5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2.5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2.5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2.5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2.5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2.5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2.5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2.5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2.5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2.5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2.5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2.5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2.5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2.5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2.5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2.5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2.5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2.5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2.5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2.5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2.5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2.5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2.5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2.5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2.5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2.5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2.5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2.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2.5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2.5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2.5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2.5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2.5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2.5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2.5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2.5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2.5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2.5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2.5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2.5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2.5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2.5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2.5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2.5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2.5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2.5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2.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2.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2.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2.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2.5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2.5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2.5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2.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2.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2.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2.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2.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2.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2.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2.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2.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2.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2.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2.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2.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2.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2.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2.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2.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2.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2.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2.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2.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2.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2.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2.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2.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2.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2.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2.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2.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2.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2.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2.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2.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2.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2.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2.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2.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2.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2.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2.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2.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2.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2.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2.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2.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2.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2.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2.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2.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2.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2.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2.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2.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2.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2.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2.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2.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2.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2.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2.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2.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2.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2.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2.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2.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2.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2.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2.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2.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2.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2.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2.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2.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2.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2.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2.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2.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2.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2.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2.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2.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2.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2.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2.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2.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2.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2.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2.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2.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2.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2.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2.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2.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2.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2.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2.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2.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2.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2.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2.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2.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2.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2.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2.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2.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2.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2.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2.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2.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2.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2.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2.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2.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2.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2.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2.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2.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2.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2.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2.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2.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2.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2.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2.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2.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2.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2.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2.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2.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2.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2.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2.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2.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2.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2.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2.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2.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2.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2.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2.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2.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2.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2.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2.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2.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2.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2.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2.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2.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2.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2.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2.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2.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2.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2.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2.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2.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2.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2.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2.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2.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2.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2.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2.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2.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2.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2.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2.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2.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2.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2.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2.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2.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2.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2.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2.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2.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2.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2.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2.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2.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2.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2.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2.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2.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2.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2.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2.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2.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2.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2.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2.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2.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2.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2.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2.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2.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2.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2.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2.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2.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2.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2.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2.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2.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2.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2.5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2.5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2.5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2.5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2.5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2.5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2.5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2.5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2.5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2.5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2.5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2.5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2.5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2.5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2.5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2.5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2.5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2.5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2.5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2.5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2.5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2.5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2.5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2.5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2.5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2.5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2.5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2.5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2.5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2.5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2.5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2.5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2.5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2.5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2.5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2.5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2.5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2.5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2.5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2.5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2.5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2.5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2.5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2.5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2.5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2.5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2.5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2.5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2.5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2.5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2.5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2.5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2.5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2.5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2.5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2.5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2.5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2.5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2.5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2.5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2.5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2.5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2.5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2.5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2.5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2.5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2.5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2.5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2.5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2.5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2.5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2.5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2.5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2.5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2.5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2.5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2.5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2.5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2.5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2.5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2.5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2.5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2.5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2.5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2.5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2.5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2.5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2.5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2.5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2.5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2.5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2.5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2.5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2.5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2.5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2.5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2.5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2.5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2.5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2.5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2.5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2.5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2.5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2.5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2.5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2.5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2.5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2.5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2.5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2.5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2.5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2.5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2.5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2.5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2.5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2.5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2.5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2.5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2.5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2.5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2.5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2.5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2.5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2.5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2.5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2.5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2.5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2.5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2.5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2.5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2.5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2.5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2.5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2.5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2.5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2.5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2.5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2.5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2.5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2.5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2.5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2.5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2.5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2.5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2.5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2.5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2.5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2.5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2.5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2.5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2.5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2.5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2.5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2.5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2.5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2.5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2.5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2.5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2.5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2.5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12.5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12.5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ht="12.5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ht="12.5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ht="12.5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ht="12.5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</sheetData>
  <mergeCells count="6">
    <mergeCell ref="J8:S8"/>
    <mergeCell ref="A3:C3"/>
    <mergeCell ref="A6:G6"/>
    <mergeCell ref="A1:F1"/>
    <mergeCell ref="A5:C5"/>
    <mergeCell ref="N2:T5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5"/>
  <sheetViews>
    <sheetView tabSelected="1" workbookViewId="0">
      <selection activeCell="Q10" sqref="Q10"/>
    </sheetView>
  </sheetViews>
  <sheetFormatPr defaultColWidth="17.26953125" defaultRowHeight="15" customHeight="1" x14ac:dyDescent="0.25"/>
  <cols>
    <col min="1" max="1" width="6.7265625" style="156" customWidth="1"/>
    <col min="2" max="2" width="7.7265625" style="156" customWidth="1"/>
    <col min="3" max="4" width="6.1796875" style="156" customWidth="1"/>
    <col min="5" max="5" width="21.453125" style="156" customWidth="1"/>
    <col min="6" max="6" width="8.1796875" style="156" customWidth="1"/>
    <col min="7" max="7" width="7.7265625" style="156" customWidth="1"/>
    <col min="8" max="8" width="8.81640625" style="156" customWidth="1"/>
    <col min="9" max="9" width="7.7265625" style="156" customWidth="1"/>
    <col min="10" max="10" width="9.1796875" style="156" customWidth="1"/>
    <col min="11" max="11" width="16" style="156" customWidth="1"/>
    <col min="12" max="12" width="15.1796875" style="156" customWidth="1"/>
    <col min="13" max="13" width="7.7265625" style="156" hidden="1" customWidth="1"/>
    <col min="14" max="14" width="15.7265625" style="156" hidden="1" customWidth="1"/>
    <col min="15" max="15" width="24.7265625" style="156" customWidth="1"/>
    <col min="16" max="16384" width="17.26953125" style="156"/>
  </cols>
  <sheetData>
    <row r="1" spans="1:15" ht="15" customHeight="1" x14ac:dyDescent="0.25">
      <c r="A1" s="2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2.75" customHeight="1" x14ac:dyDescent="0.25">
      <c r="A2" s="157" t="s">
        <v>2</v>
      </c>
      <c r="B2" s="157"/>
      <c r="C2" s="170" t="s">
        <v>3</v>
      </c>
      <c r="D2" s="161"/>
      <c r="E2" s="161"/>
      <c r="F2" s="161"/>
      <c r="G2" s="157"/>
      <c r="H2" s="169" t="s">
        <v>5</v>
      </c>
      <c r="I2" s="161"/>
      <c r="J2" s="161"/>
      <c r="K2" s="161"/>
      <c r="L2" s="161"/>
      <c r="M2" s="157"/>
      <c r="N2" s="157"/>
      <c r="O2" s="157"/>
    </row>
    <row r="3" spans="1:15" ht="12.75" customHeight="1" x14ac:dyDescent="0.25">
      <c r="A3" s="157" t="s">
        <v>7</v>
      </c>
      <c r="B3" s="157"/>
      <c r="C3" s="157"/>
      <c r="D3" s="168" t="s">
        <v>8</v>
      </c>
      <c r="E3" s="161"/>
      <c r="F3" s="157"/>
      <c r="G3" s="157"/>
      <c r="H3" s="168" t="s">
        <v>9</v>
      </c>
      <c r="I3" s="161"/>
      <c r="J3" s="161"/>
      <c r="K3" s="157"/>
      <c r="L3" s="157"/>
      <c r="M3" s="157"/>
      <c r="N3" s="157"/>
      <c r="O3" s="157"/>
    </row>
    <row r="4" spans="1:15" ht="12.75" customHeight="1" x14ac:dyDescent="0.25">
      <c r="A4" s="168" t="s">
        <v>10</v>
      </c>
      <c r="B4" s="161"/>
      <c r="C4" s="161"/>
      <c r="D4" s="157"/>
      <c r="E4" s="157"/>
      <c r="F4" s="157"/>
      <c r="G4" s="157"/>
      <c r="H4" s="168" t="s">
        <v>11</v>
      </c>
      <c r="I4" s="161"/>
      <c r="J4" s="161"/>
      <c r="K4" s="161"/>
      <c r="L4" s="161"/>
      <c r="M4" s="157"/>
      <c r="N4" s="157"/>
      <c r="O4" s="157"/>
    </row>
    <row r="5" spans="1:15" ht="12.75" customHeight="1" x14ac:dyDescent="0.25">
      <c r="A5" s="157"/>
      <c r="B5" s="157"/>
      <c r="C5" s="157"/>
      <c r="D5" s="157"/>
      <c r="E5" s="157"/>
      <c r="F5" s="157"/>
      <c r="G5" s="157"/>
      <c r="H5" s="157" t="s">
        <v>12</v>
      </c>
      <c r="I5" s="157"/>
      <c r="J5" s="157"/>
      <c r="K5" s="8" t="s">
        <v>45</v>
      </c>
      <c r="L5" s="9" t="str">
        <f>HLOOKUP(K5,'коначна табела финал'!J9:R11,2,FALSE)</f>
        <v>29.6.17.</v>
      </c>
      <c r="M5" s="10">
        <f>HLOOKUP(K5,'коначна табела финал'!F9:N11,3,FALSE)</f>
        <v>5</v>
      </c>
      <c r="N5" s="13"/>
      <c r="O5" s="157"/>
    </row>
    <row r="6" spans="1:15" ht="12.75" customHeight="1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5.75" customHeight="1" x14ac:dyDescent="0.25">
      <c r="A7" s="177" t="s">
        <v>20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2.75" customHeigh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13.5" customHeight="1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34.5" customHeight="1" x14ac:dyDescent="0.25">
      <c r="A10" s="173" t="s">
        <v>21</v>
      </c>
      <c r="B10" s="173" t="s">
        <v>23</v>
      </c>
      <c r="C10" s="173" t="s">
        <v>24</v>
      </c>
      <c r="D10" s="175" t="s">
        <v>25</v>
      </c>
      <c r="E10" s="173" t="s">
        <v>28</v>
      </c>
      <c r="F10" s="14" t="s">
        <v>29</v>
      </c>
      <c r="G10" s="176" t="s">
        <v>30</v>
      </c>
      <c r="H10" s="167"/>
      <c r="I10" s="176" t="s">
        <v>31</v>
      </c>
      <c r="J10" s="167"/>
      <c r="K10" s="15" t="s">
        <v>32</v>
      </c>
      <c r="L10" s="16" t="s">
        <v>33</v>
      </c>
      <c r="M10" s="16"/>
      <c r="N10" s="16"/>
      <c r="O10" s="173" t="s">
        <v>34</v>
      </c>
    </row>
    <row r="11" spans="1:15" ht="12" customHeight="1" x14ac:dyDescent="0.25">
      <c r="A11" s="174"/>
      <c r="B11" s="174"/>
      <c r="C11" s="174"/>
      <c r="D11" s="174"/>
      <c r="E11" s="174"/>
      <c r="F11" s="16" t="s">
        <v>37</v>
      </c>
      <c r="G11" s="16" t="s">
        <v>37</v>
      </c>
      <c r="H11" s="16" t="s">
        <v>38</v>
      </c>
      <c r="I11" s="16" t="s">
        <v>37</v>
      </c>
      <c r="J11" s="16" t="s">
        <v>38</v>
      </c>
      <c r="K11" s="16" t="s">
        <v>37</v>
      </c>
      <c r="L11" s="16" t="s">
        <v>37</v>
      </c>
      <c r="M11" s="16" t="s">
        <v>39</v>
      </c>
      <c r="N11" s="16" t="s">
        <v>40</v>
      </c>
      <c r="O11" s="174"/>
    </row>
    <row r="12" spans="1:15" ht="12.75" customHeight="1" x14ac:dyDescent="0.25">
      <c r="A12" s="41">
        <v>1</v>
      </c>
      <c r="B12" s="18" t="s">
        <v>187</v>
      </c>
      <c r="C12" s="19" t="str">
        <f>VLOOKUP(B12,'коначна табела финал'!$B$1:$W$85,22,FALSE)</f>
        <v>С</v>
      </c>
      <c r="D12" s="21">
        <f>VLOOKUP(B12,'коначна табела финал'!$B$1:$W$85,21,FALSE)</f>
        <v>1</v>
      </c>
      <c r="E12" s="23" t="str">
        <f>VLOOKUP(B12,'коначна табела финал'!$B$1:$W$85,2,FALSE)</f>
        <v>Марић Милан</v>
      </c>
      <c r="F12" s="25">
        <f>VLOOKUP(B12,'коначна табела финал'!$B$1:$W$85,5,FALSE)</f>
        <v>38</v>
      </c>
      <c r="G12" s="25"/>
      <c r="H12" s="28"/>
      <c r="I12" s="25"/>
      <c r="J12" s="28"/>
      <c r="K12" s="30">
        <f>VLOOKUP(B12,'коначна табела финал'!$B$12:$W$81,$M$5+8,FALSE)</f>
        <v>5</v>
      </c>
      <c r="L12" s="25" t="s">
        <v>61</v>
      </c>
      <c r="M12" s="31" t="str">
        <f t="shared" ref="M12:M23" si="0">IF(AND(ISNUMBER(K12),C12="С"),L12,"-")</f>
        <v>x</v>
      </c>
      <c r="N12" s="31" t="str">
        <f t="shared" ref="N12:N23" si="1">IF(AND(ISNUMBER(K12),C12="О"),L12,"-")</f>
        <v>-</v>
      </c>
      <c r="O12" s="32" t="s">
        <v>205</v>
      </c>
    </row>
    <row r="13" spans="1:15" ht="12.75" customHeight="1" x14ac:dyDescent="0.25">
      <c r="A13" s="41">
        <v>2</v>
      </c>
      <c r="B13" s="18" t="s">
        <v>171</v>
      </c>
      <c r="C13" s="19" t="str">
        <f>VLOOKUP(B13,'коначна табела финал'!$B$1:$W$85,22,FALSE)</f>
        <v>С</v>
      </c>
      <c r="D13" s="21">
        <f>VLOOKUP(B13,'коначна табела финал'!$B$1:$W$85,21,FALSE)</f>
        <v>3</v>
      </c>
      <c r="E13" s="23" t="str">
        <f>VLOOKUP(B13,'коначна табела финал'!$B$1:$W$85,2,FALSE)</f>
        <v>Ђурић Тина</v>
      </c>
      <c r="F13" s="25">
        <f>VLOOKUP(B13,'коначна табела финал'!$B$1:$W$85,5,FALSE)</f>
        <v>49</v>
      </c>
      <c r="G13" s="25"/>
      <c r="H13" s="28"/>
      <c r="I13" s="25"/>
      <c r="J13" s="28"/>
      <c r="K13" s="30">
        <f>VLOOKUP(B13,'коначна табела финал'!$B$12:$W$81,$M$5+8,FALSE)</f>
        <v>5</v>
      </c>
      <c r="L13" s="25" t="s">
        <v>61</v>
      </c>
      <c r="M13" s="31" t="str">
        <f t="shared" si="0"/>
        <v>x</v>
      </c>
      <c r="N13" s="31" t="str">
        <f t="shared" si="1"/>
        <v>-</v>
      </c>
      <c r="O13" s="32" t="s">
        <v>205</v>
      </c>
    </row>
    <row r="14" spans="1:15" ht="12.75" customHeight="1" x14ac:dyDescent="0.25">
      <c r="A14" s="41">
        <v>3</v>
      </c>
      <c r="B14" s="18" t="s">
        <v>200</v>
      </c>
      <c r="C14" s="19">
        <f>VLOOKUP(B14,'коначна табела финал'!$B$1:$W$85,22,FALSE)</f>
        <v>0</v>
      </c>
      <c r="D14" s="21">
        <f>VLOOKUP(B14,'коначна табела финал'!$B$1:$W$85,21,FALSE)</f>
        <v>0</v>
      </c>
      <c r="E14" s="23" t="str">
        <f>VLOOKUP(B14,'коначна табела финал'!$B$1:$W$85,2,FALSE)</f>
        <v>Тадић Владимир</v>
      </c>
      <c r="F14" s="25">
        <f>VLOOKUP(B14,'коначна табела финал'!$B$1:$W$85,5,FALSE)</f>
        <v>42</v>
      </c>
      <c r="G14" s="25"/>
      <c r="H14" s="28"/>
      <c r="I14" s="25"/>
      <c r="J14" s="28"/>
      <c r="K14" s="30">
        <f>VLOOKUP(B14,'коначна табела финал'!$B$12:$W$81,$M$5+8,FALSE)</f>
        <v>5</v>
      </c>
      <c r="L14" s="25" t="s">
        <v>61</v>
      </c>
      <c r="M14" s="31" t="str">
        <f t="shared" si="0"/>
        <v>-</v>
      </c>
      <c r="N14" s="31" t="str">
        <f t="shared" si="1"/>
        <v>-</v>
      </c>
      <c r="O14" s="32" t="s">
        <v>205</v>
      </c>
    </row>
    <row r="15" spans="1:15" ht="12.75" customHeight="1" x14ac:dyDescent="0.25">
      <c r="A15" s="41">
        <v>4</v>
      </c>
      <c r="B15" s="18" t="s">
        <v>168</v>
      </c>
      <c r="C15" s="19" t="str">
        <f>VLOOKUP(B15,'коначна табела финал'!$B$1:$W$85,22,FALSE)</f>
        <v>С</v>
      </c>
      <c r="D15" s="21">
        <f>VLOOKUP(B15,'коначна табела финал'!$B$1:$W$85,21,FALSE)</f>
        <v>2</v>
      </c>
      <c r="E15" s="23" t="str">
        <f>VLOOKUP(B15,'коначна табела финал'!$B$1:$W$85,2,FALSE)</f>
        <v>Благојевић Дејан</v>
      </c>
      <c r="F15" s="25">
        <f>VLOOKUP(B15,'коначна табела финал'!$B$1:$W$85,5,FALSE)</f>
        <v>38</v>
      </c>
      <c r="G15" s="25"/>
      <c r="H15" s="28"/>
      <c r="I15" s="25"/>
      <c r="J15" s="28"/>
      <c r="K15" s="30">
        <f>VLOOKUP(B15,'коначна табела финал'!$B$12:$W$81,$M$5+8,FALSE)</f>
        <v>5</v>
      </c>
      <c r="L15" s="25" t="s">
        <v>61</v>
      </c>
      <c r="M15" s="31" t="str">
        <f t="shared" si="0"/>
        <v>x</v>
      </c>
      <c r="N15" s="31" t="str">
        <f t="shared" si="1"/>
        <v>-</v>
      </c>
      <c r="O15" s="32" t="s">
        <v>205</v>
      </c>
    </row>
    <row r="16" spans="1:15" ht="12.75" customHeight="1" x14ac:dyDescent="0.25">
      <c r="A16" s="41">
        <v>5</v>
      </c>
      <c r="B16" s="18" t="s">
        <v>177</v>
      </c>
      <c r="C16" s="19">
        <f>VLOOKUP(B16,'коначна табела финал'!$B$1:$W$85,22,FALSE)</f>
        <v>0</v>
      </c>
      <c r="D16" s="21">
        <f>VLOOKUP(B16,'коначна табела финал'!$B$1:$W$85,21,FALSE)</f>
        <v>0</v>
      </c>
      <c r="E16" s="23" t="str">
        <f>VLOOKUP(B16,'коначна табела финал'!$B$1:$W$85,2,FALSE)</f>
        <v>Ћетојевић Јелена</v>
      </c>
      <c r="F16" s="25">
        <f>VLOOKUP(B16,'коначна табела финал'!$B$1:$W$85,5,FALSE)</f>
        <v>49</v>
      </c>
      <c r="G16" s="25"/>
      <c r="H16" s="28"/>
      <c r="I16" s="25"/>
      <c r="J16" s="28"/>
      <c r="K16" s="30">
        <f>VLOOKUP(B16,'коначна табела финал'!$B$12:$W$81,$M$5+8,FALSE)</f>
        <v>5</v>
      </c>
      <c r="L16" s="25" t="s">
        <v>61</v>
      </c>
      <c r="M16" s="31" t="str">
        <f t="shared" si="0"/>
        <v>-</v>
      </c>
      <c r="N16" s="31" t="str">
        <f t="shared" si="1"/>
        <v>-</v>
      </c>
      <c r="O16" s="32" t="s">
        <v>205</v>
      </c>
    </row>
    <row r="17" spans="1:15" ht="12.75" customHeight="1" x14ac:dyDescent="0.25">
      <c r="A17" s="41">
        <v>6</v>
      </c>
      <c r="B17" s="18" t="s">
        <v>153</v>
      </c>
      <c r="C17" s="19" t="str">
        <f>VLOOKUP(B17,'коначна табела финал'!$B$1:$W$85,22,FALSE)</f>
        <v>С</v>
      </c>
      <c r="D17" s="21">
        <f>VLOOKUP(B17,'коначна табела финал'!$B$1:$W$85,21,FALSE)</f>
        <v>1</v>
      </c>
      <c r="E17" s="23" t="str">
        <f>VLOOKUP(B17,'коначна табела финал'!$B$1:$W$85,2,FALSE)</f>
        <v>Илишковић Стефан</v>
      </c>
      <c r="F17" s="25">
        <f>VLOOKUP(B17,'коначна табела финал'!$B$1:$W$85,5,FALSE)</f>
        <v>58</v>
      </c>
      <c r="G17" s="25"/>
      <c r="H17" s="28"/>
      <c r="I17" s="25"/>
      <c r="J17" s="28"/>
      <c r="K17" s="30">
        <f>VLOOKUP(B17,'коначна табела финал'!$B$12:$W$81,$M$5+8,FALSE)</f>
        <v>24</v>
      </c>
      <c r="L17" s="25">
        <v>82</v>
      </c>
      <c r="M17" s="31">
        <f t="shared" si="0"/>
        <v>82</v>
      </c>
      <c r="N17" s="31" t="str">
        <f t="shared" si="1"/>
        <v>-</v>
      </c>
      <c r="O17" s="32" t="str">
        <f t="shared" ref="O12:O23" si="2">IF(L17="нема услов","нема услов",IF(L17="није полагао/ла","није полагао/ла",IF(L17="није положио/ла","5/Ф (није положио/ла)",IF(L17&gt;90.9,"10/A (изузетан одличан)",IF(L17&gt;80.9,"9/Б (одличан)",IF(L17&gt;70.9,"8/Ц (врло добар)",IF(L17&gt;60.9,"7/Д (добар)",IF(L17&gt;50.9,"6/Е (довољан)","5/Ф (није положио)"))))))))</f>
        <v>9/Б (одличан)</v>
      </c>
    </row>
    <row r="18" spans="1:15" ht="12.75" customHeight="1" x14ac:dyDescent="0.25">
      <c r="A18" s="41">
        <v>7</v>
      </c>
      <c r="B18" s="18" t="s">
        <v>166</v>
      </c>
      <c r="C18" s="19" t="str">
        <f>VLOOKUP(B18,'коначна табела финал'!$B$1:$W$85,22,FALSE)</f>
        <v>С</v>
      </c>
      <c r="D18" s="21">
        <f>VLOOKUP(B18,'коначна табела финал'!$B$1:$W$85,21,FALSE)</f>
        <v>1</v>
      </c>
      <c r="E18" s="23" t="str">
        <f>VLOOKUP(B18,'коначна табела финал'!$B$1:$W$85,2,FALSE)</f>
        <v>Нишић Весна</v>
      </c>
      <c r="F18" s="25">
        <f>VLOOKUP(B18,'коначна табела финал'!$B$1:$W$85,5,FALSE)</f>
        <v>38</v>
      </c>
      <c r="G18" s="25"/>
      <c r="H18" s="28"/>
      <c r="I18" s="25"/>
      <c r="J18" s="28"/>
      <c r="K18" s="30">
        <f>VLOOKUP(B18,'коначна табела финал'!$B$12:$W$81,$M$5+8,FALSE)</f>
        <v>25.5</v>
      </c>
      <c r="L18" s="25">
        <v>63.5</v>
      </c>
      <c r="M18" s="31">
        <f t="shared" si="0"/>
        <v>63.5</v>
      </c>
      <c r="N18" s="31" t="str">
        <f t="shared" si="1"/>
        <v>-</v>
      </c>
      <c r="O18" s="32" t="str">
        <f t="shared" si="2"/>
        <v>7/Д (добар)</v>
      </c>
    </row>
    <row r="19" spans="1:15" ht="12.75" customHeight="1" x14ac:dyDescent="0.25">
      <c r="A19" s="41">
        <v>8</v>
      </c>
      <c r="B19" s="18" t="s">
        <v>155</v>
      </c>
      <c r="C19" s="19" t="str">
        <f>VLOOKUP(B19,'коначна табела финал'!$B$1:$W$85,22,FALSE)</f>
        <v>С</v>
      </c>
      <c r="D19" s="21">
        <f>VLOOKUP(B19,'коначна табела финал'!$B$1:$W$85,21,FALSE)</f>
        <v>2</v>
      </c>
      <c r="E19" s="23" t="str">
        <f>VLOOKUP(B19,'коначна табела финал'!$B$1:$W$85,2,FALSE)</f>
        <v xml:space="preserve">Лакић Сара </v>
      </c>
      <c r="F19" s="25">
        <f>VLOOKUP(B19,'коначна табела финал'!$B$1:$W$85,5,FALSE)</f>
        <v>58</v>
      </c>
      <c r="G19" s="25"/>
      <c r="H19" s="28"/>
      <c r="I19" s="25"/>
      <c r="J19" s="28"/>
      <c r="K19" s="30">
        <f>VLOOKUP(B19,'коначна табела финал'!$B$12:$W$81,$M$5+8,FALSE)</f>
        <v>23</v>
      </c>
      <c r="L19" s="25">
        <v>81</v>
      </c>
      <c r="M19" s="31">
        <f t="shared" si="0"/>
        <v>81</v>
      </c>
      <c r="N19" s="31" t="str">
        <f t="shared" si="1"/>
        <v>-</v>
      </c>
      <c r="O19" s="32" t="str">
        <f t="shared" si="2"/>
        <v>9/Б (одличан)</v>
      </c>
    </row>
    <row r="20" spans="1:15" ht="12.75" customHeight="1" x14ac:dyDescent="0.25">
      <c r="A20" s="41">
        <v>9</v>
      </c>
      <c r="B20" s="18" t="s">
        <v>182</v>
      </c>
      <c r="C20" s="19" t="str">
        <f>VLOOKUP(B20,'коначна табела финал'!$B$1:$W$85,22,FALSE)</f>
        <v>С</v>
      </c>
      <c r="D20" s="21">
        <f>VLOOKUP(B20,'коначна табела финал'!$B$1:$W$85,21,FALSE)</f>
        <v>2</v>
      </c>
      <c r="E20" s="23" t="str">
        <f>VLOOKUP(B20,'коначна табела финал'!$B$1:$W$85,2,FALSE)</f>
        <v>Јањић Јована</v>
      </c>
      <c r="F20" s="25">
        <f>VLOOKUP(B20,'коначна табела финал'!$B$1:$W$85,5,FALSE)</f>
        <v>58</v>
      </c>
      <c r="G20" s="25"/>
      <c r="H20" s="28"/>
      <c r="I20" s="25"/>
      <c r="J20" s="28"/>
      <c r="K20" s="30">
        <f>VLOOKUP(B20,'коначна табела финал'!$B$12:$W$81,$M$5+8,FALSE)</f>
        <v>21</v>
      </c>
      <c r="L20" s="25">
        <v>79</v>
      </c>
      <c r="M20" s="31">
        <f t="shared" si="0"/>
        <v>79</v>
      </c>
      <c r="N20" s="31" t="str">
        <f t="shared" si="1"/>
        <v>-</v>
      </c>
      <c r="O20" s="32" t="str">
        <f t="shared" si="2"/>
        <v>8/Ц (врло добар)</v>
      </c>
    </row>
    <row r="21" spans="1:15" ht="12.75" customHeight="1" x14ac:dyDescent="0.25">
      <c r="A21" s="41">
        <v>10</v>
      </c>
      <c r="B21" s="18" t="s">
        <v>154</v>
      </c>
      <c r="C21" s="19" t="str">
        <f>VLOOKUP(B21,'коначна табела финал'!$B$1:$W$85,22,FALSE)</f>
        <v>С</v>
      </c>
      <c r="D21" s="21">
        <f>VLOOKUP(B21,'коначна табела финал'!$B$1:$W$85,21,FALSE)</f>
        <v>2</v>
      </c>
      <c r="E21" s="23" t="str">
        <f>VLOOKUP(B21,'коначна табела финал'!$B$1:$W$85,2,FALSE)</f>
        <v>Кнежевић Ивона</v>
      </c>
      <c r="F21" s="25">
        <f>VLOOKUP(B21,'коначна табела финал'!$B$1:$W$85,5,FALSE)</f>
        <v>58</v>
      </c>
      <c r="G21" s="25"/>
      <c r="H21" s="28"/>
      <c r="I21" s="25"/>
      <c r="J21" s="28"/>
      <c r="K21" s="30">
        <f>VLOOKUP(B21,'коначна табела финал'!$B$12:$W$81,$M$5+8,FALSE)</f>
        <v>21</v>
      </c>
      <c r="L21" s="25">
        <v>79</v>
      </c>
      <c r="M21" s="31">
        <f t="shared" si="0"/>
        <v>79</v>
      </c>
      <c r="N21" s="31" t="str">
        <f t="shared" si="1"/>
        <v>-</v>
      </c>
      <c r="O21" s="32" t="str">
        <f t="shared" si="2"/>
        <v>8/Ц (врло добар)</v>
      </c>
    </row>
    <row r="22" spans="1:15" ht="12.75" customHeight="1" x14ac:dyDescent="0.25">
      <c r="A22" s="41">
        <v>11</v>
      </c>
      <c r="B22" s="18" t="s">
        <v>160</v>
      </c>
      <c r="C22" s="19" t="str">
        <f>VLOOKUP(B22,'коначна табела финал'!$B$1:$W$85,22,FALSE)</f>
        <v>С</v>
      </c>
      <c r="D22" s="21">
        <f>VLOOKUP(B22,'коначна табела финал'!$B$1:$W$85,21,FALSE)</f>
        <v>2</v>
      </c>
      <c r="E22" s="23" t="str">
        <f>VLOOKUP(B22,'коначна табела финал'!$B$1:$W$85,2,FALSE)</f>
        <v>Милановић Владана</v>
      </c>
      <c r="F22" s="25">
        <f>VLOOKUP(B22,'коначна табела финал'!$B$1:$W$85,5,FALSE)</f>
        <v>56</v>
      </c>
      <c r="G22" s="25"/>
      <c r="H22" s="28"/>
      <c r="I22" s="25"/>
      <c r="J22" s="28"/>
      <c r="K22" s="30">
        <f>VLOOKUP(B22,'коначна табела финал'!$B$12:$W$81,$M$5+8,FALSE)</f>
        <v>22.5</v>
      </c>
      <c r="L22" s="25">
        <v>78.5</v>
      </c>
      <c r="M22" s="31">
        <f t="shared" si="0"/>
        <v>78.5</v>
      </c>
      <c r="N22" s="31" t="str">
        <f t="shared" si="1"/>
        <v>-</v>
      </c>
      <c r="O22" s="32" t="str">
        <f t="shared" si="2"/>
        <v>8/Ц (врло добар)</v>
      </c>
    </row>
    <row r="23" spans="1:15" ht="12.75" customHeight="1" x14ac:dyDescent="0.25">
      <c r="A23" s="41">
        <v>12</v>
      </c>
      <c r="B23" s="18" t="s">
        <v>156</v>
      </c>
      <c r="C23" s="19" t="str">
        <f>VLOOKUP(B23,'коначна табела финал'!$B$1:$W$85,22,FALSE)</f>
        <v>С</v>
      </c>
      <c r="D23" s="21">
        <f>VLOOKUP(B23,'коначна табела финал'!$B$1:$W$85,21,FALSE)</f>
        <v>3</v>
      </c>
      <c r="E23" s="23" t="str">
        <f>VLOOKUP(B23,'коначна табела финал'!$B$1:$W$85,2,FALSE)</f>
        <v>Пећанац Јована</v>
      </c>
      <c r="F23" s="25">
        <f>VLOOKUP(B23,'коначна табела финал'!$B$1:$W$85,5,FALSE)</f>
        <v>42</v>
      </c>
      <c r="G23" s="25"/>
      <c r="H23" s="28"/>
      <c r="I23" s="25"/>
      <c r="J23" s="28"/>
      <c r="K23" s="30">
        <f>VLOOKUP(B23,'коначна табела финал'!$B$12:$W$81,$M$5+8,FALSE)</f>
        <v>21</v>
      </c>
      <c r="L23" s="25">
        <v>63</v>
      </c>
      <c r="M23" s="31">
        <f t="shared" si="0"/>
        <v>63</v>
      </c>
      <c r="N23" s="31" t="str">
        <f t="shared" si="1"/>
        <v>-</v>
      </c>
      <c r="O23" s="32" t="str">
        <f t="shared" si="2"/>
        <v>7/Д (добар)</v>
      </c>
    </row>
    <row r="24" spans="1:15" ht="12.75" customHeight="1" x14ac:dyDescent="0.25">
      <c r="A24" s="41">
        <v>13</v>
      </c>
      <c r="B24" s="18" t="s">
        <v>204</v>
      </c>
      <c r="C24" s="19">
        <f>VLOOKUP(B24,'коначна табела финал'!$B$1:$W$85,22,FALSE)</f>
        <v>0</v>
      </c>
      <c r="D24" s="21">
        <f>VLOOKUP(B24,'коначна табела финал'!$B$1:$W$85,21,FALSE)</f>
        <v>0</v>
      </c>
      <c r="E24" s="23" t="str">
        <f>VLOOKUP(B24,'коначна табела финал'!$B$1:$W$85,2,FALSE)</f>
        <v>Тешановић Милан</v>
      </c>
      <c r="F24" s="25">
        <f>VLOOKUP(B24,'коначна табела финал'!$B$1:$W$85,5,FALSE)</f>
        <v>42</v>
      </c>
      <c r="G24" s="25"/>
      <c r="H24" s="28"/>
      <c r="I24" s="25"/>
      <c r="J24" s="28"/>
      <c r="K24" s="30">
        <f>VLOOKUP(B24,'коначна табела финал'!$B$12:$W$81,$M$5+8,FALSE)</f>
        <v>18</v>
      </c>
      <c r="L24" s="25">
        <v>60</v>
      </c>
      <c r="M24" s="31" t="str">
        <f t="shared" ref="M24:M27" si="3">IF(AND(ISNUMBER(K24),C24="С"),L24,"-")</f>
        <v>-</v>
      </c>
      <c r="N24" s="31" t="str">
        <f t="shared" ref="N24:N27" si="4">IF(AND(ISNUMBER(K24),C24="О"),L24,"-")</f>
        <v>-</v>
      </c>
      <c r="O24" s="32" t="str">
        <f t="shared" ref="O24:O27" si="5">IF(L24="нема услов","нема услов",IF(L24="није полагао/ла","није полагао/ла",IF(L24="није положио/ла","5/Ф (није положио/ла)",IF(L24&gt;90.9,"10/A (изузетан одличан)",IF(L24&gt;80.9,"9/Б (одличан)",IF(L24&gt;70.9,"8/Ц (врло добар)",IF(L24&gt;60.9,"7/Д (добар)",IF(L24&gt;50.9,"6/Е (довољан)","5/Ф (није положио)"))))))))</f>
        <v>6/Е (довољан)</v>
      </c>
    </row>
    <row r="25" spans="1:15" ht="12.75" customHeight="1" x14ac:dyDescent="0.25">
      <c r="A25" s="41">
        <v>14</v>
      </c>
      <c r="B25" s="18" t="s">
        <v>176</v>
      </c>
      <c r="C25" s="19" t="str">
        <f>VLOOKUP(B25,'коначна табела финал'!$B$1:$W$85,22,FALSE)</f>
        <v>С</v>
      </c>
      <c r="D25" s="21">
        <f>VLOOKUP(B25,'коначна табела финал'!$B$1:$W$85,21,FALSE)</f>
        <v>2</v>
      </c>
      <c r="E25" s="23" t="str">
        <f>VLOOKUP(B25,'коначна табела финал'!$B$1:$W$85,2,FALSE)</f>
        <v>Родић Наташа</v>
      </c>
      <c r="F25" s="25">
        <f>VLOOKUP(B25,'коначна табела финал'!$B$1:$W$85,5,FALSE)</f>
        <v>51</v>
      </c>
      <c r="G25" s="25"/>
      <c r="H25" s="28"/>
      <c r="I25" s="25"/>
      <c r="J25" s="28"/>
      <c r="K25" s="30">
        <f>VLOOKUP(B25,'коначна табела финал'!$B$12:$W$81,$M$5+8,FALSE)</f>
        <v>5</v>
      </c>
      <c r="L25" s="25" t="s">
        <v>61</v>
      </c>
      <c r="M25" s="31" t="str">
        <f t="shared" si="3"/>
        <v>x</v>
      </c>
      <c r="N25" s="31" t="str">
        <f t="shared" si="4"/>
        <v>-</v>
      </c>
      <c r="O25" s="32" t="s">
        <v>205</v>
      </c>
    </row>
    <row r="26" spans="1:15" ht="12.75" customHeight="1" x14ac:dyDescent="0.25">
      <c r="A26" s="41">
        <v>15</v>
      </c>
      <c r="B26" s="18" t="s">
        <v>165</v>
      </c>
      <c r="C26" s="19" t="str">
        <f>VLOOKUP(B26,'коначна табела финал'!$B$1:$W$85,22,FALSE)</f>
        <v>С</v>
      </c>
      <c r="D26" s="21">
        <f>VLOOKUP(B26,'коначна табела финал'!$B$1:$W$85,21,FALSE)</f>
        <v>2</v>
      </c>
      <c r="E26" s="23" t="str">
        <f>VLOOKUP(B26,'коначна табела финал'!$B$1:$W$85,2,FALSE)</f>
        <v>Миловановић Јована</v>
      </c>
      <c r="F26" s="25">
        <f>VLOOKUP(B26,'коначна табела финал'!$B$1:$W$85,5,FALSE)</f>
        <v>56</v>
      </c>
      <c r="G26" s="25"/>
      <c r="H26" s="28"/>
      <c r="I26" s="25"/>
      <c r="J26" s="28"/>
      <c r="K26" s="30">
        <f>VLOOKUP(B26,'коначна табела финал'!$B$12:$W$81,$M$5+8,FALSE)</f>
        <v>5</v>
      </c>
      <c r="L26" s="25" t="s">
        <v>61</v>
      </c>
      <c r="M26" s="31" t="str">
        <f t="shared" si="3"/>
        <v>x</v>
      </c>
      <c r="N26" s="31" t="str">
        <f t="shared" si="4"/>
        <v>-</v>
      </c>
      <c r="O26" s="32" t="s">
        <v>205</v>
      </c>
    </row>
    <row r="27" spans="1:15" ht="12.75" customHeight="1" x14ac:dyDescent="0.25">
      <c r="A27" s="41">
        <v>16</v>
      </c>
      <c r="B27" s="18" t="s">
        <v>180</v>
      </c>
      <c r="C27" s="19" t="str">
        <f>VLOOKUP(B27,'коначна табела финал'!$B$1:$W$85,22,FALSE)</f>
        <v>С</v>
      </c>
      <c r="D27" s="21">
        <f>VLOOKUP(B27,'коначна табела финал'!$B$1:$W$85,21,FALSE)</f>
        <v>1</v>
      </c>
      <c r="E27" s="23" t="str">
        <f>VLOOKUP(B27,'коначна табела финал'!$B$1:$W$85,2,FALSE)</f>
        <v>Шупић Николина</v>
      </c>
      <c r="F27" s="25">
        <f>VLOOKUP(B27,'коначна табела финал'!$B$1:$W$85,5,FALSE)</f>
        <v>51</v>
      </c>
      <c r="G27" s="25"/>
      <c r="H27" s="28"/>
      <c r="I27" s="25"/>
      <c r="J27" s="28"/>
      <c r="K27" s="30">
        <f>VLOOKUP(B27,'коначна табела финал'!$B$12:$W$81,$M$5+8,FALSE)</f>
        <v>5</v>
      </c>
      <c r="L27" s="25" t="s">
        <v>61</v>
      </c>
      <c r="M27" s="31" t="str">
        <f t="shared" si="3"/>
        <v>x</v>
      </c>
      <c r="N27" s="31" t="str">
        <f t="shared" si="4"/>
        <v>-</v>
      </c>
      <c r="O27" s="32" t="s">
        <v>205</v>
      </c>
    </row>
    <row r="28" spans="1:15" ht="12.75" customHeight="1" x14ac:dyDescent="0.25">
      <c r="A28" s="41">
        <v>17</v>
      </c>
      <c r="B28" s="18" t="s">
        <v>198</v>
      </c>
      <c r="C28" s="19" t="str">
        <f>VLOOKUP(B28,'коначна табела финал'!$B$1:$W$85,22,FALSE)</f>
        <v>С</v>
      </c>
      <c r="D28" s="21">
        <f>VLOOKUP(B28,'коначна табела финал'!$B$1:$W$85,21,FALSE)</f>
        <v>1</v>
      </c>
      <c r="E28" s="23" t="str">
        <f>VLOOKUP(B28,'коначна табела финал'!$B$1:$W$85,2,FALSE)</f>
        <v>Кењић Маја</v>
      </c>
      <c r="F28" s="25">
        <f>VLOOKUP(B28,'коначна табела финал'!$B$1:$W$85,5,FALSE)</f>
        <v>42</v>
      </c>
      <c r="G28" s="25"/>
      <c r="H28" s="28"/>
      <c r="I28" s="25"/>
      <c r="J28" s="28"/>
      <c r="K28" s="30">
        <f>VLOOKUP(B28,'коначна табела финал'!$B$12:$W$81,$M$5+8,FALSE)</f>
        <v>5</v>
      </c>
      <c r="L28" s="25" t="s">
        <v>61</v>
      </c>
      <c r="M28" s="31" t="str">
        <f t="shared" ref="M28" si="6">IF(AND(ISNUMBER(K28),C28="С"),L28,"-")</f>
        <v>x</v>
      </c>
      <c r="N28" s="31" t="str">
        <f t="shared" ref="N28" si="7">IF(AND(ISNUMBER(K28),C28="О"),L28,"-")</f>
        <v>-</v>
      </c>
      <c r="O28" s="32" t="s">
        <v>205</v>
      </c>
    </row>
    <row r="29" spans="1:15" ht="12.75" customHeight="1" x14ac:dyDescent="0.25">
      <c r="A29" s="41"/>
      <c r="B29" s="18"/>
      <c r="C29" s="19"/>
      <c r="D29" s="21"/>
      <c r="E29" s="23"/>
      <c r="F29" s="25"/>
      <c r="G29" s="25"/>
      <c r="H29" s="28"/>
      <c r="I29" s="25"/>
      <c r="J29" s="28"/>
      <c r="K29" s="30"/>
      <c r="L29" s="25"/>
      <c r="M29" s="31"/>
      <c r="N29" s="31"/>
      <c r="O29" s="32"/>
    </row>
    <row r="30" spans="1:15" ht="12.75" customHeight="1" x14ac:dyDescent="0.25">
      <c r="A30" s="41"/>
      <c r="B30" s="18"/>
      <c r="C30" s="19"/>
      <c r="D30" s="21"/>
      <c r="E30" s="23"/>
      <c r="F30" s="25"/>
      <c r="G30" s="25"/>
      <c r="H30" s="28"/>
      <c r="I30" s="25"/>
      <c r="J30" s="28"/>
      <c r="K30" s="30"/>
      <c r="L30" s="25"/>
      <c r="M30" s="31"/>
      <c r="N30" s="31"/>
      <c r="O30" s="32"/>
    </row>
    <row r="31" spans="1:15" ht="12.75" hidden="1" customHeight="1" x14ac:dyDescent="0.25">
      <c r="A31" s="41">
        <v>15</v>
      </c>
      <c r="B31" s="18"/>
      <c r="C31" s="19" t="e">
        <f>VLOOKUP(B31,'коначна табела финал'!$B$1:$W$85,22,FALSE)</f>
        <v>#N/A</v>
      </c>
      <c r="D31" s="21" t="e">
        <f>VLOOKUP(B31,'коначна табела финал'!$B$1:$W$85,21,FALSE)</f>
        <v>#N/A</v>
      </c>
      <c r="E31" s="23" t="e">
        <f>VLOOKUP(B31,'коначна табела финал'!$B$1:$W$85,2,FALSE)</f>
        <v>#N/A</v>
      </c>
      <c r="F31" s="25" t="e">
        <f>VLOOKUP(B31,'коначна табела финал'!$B$1:$W$85,5,FALSE)</f>
        <v>#N/A</v>
      </c>
      <c r="G31" s="25" t="e">
        <f>IF(VLOOKUP(B31,'коначна табела финал'!$B$1:$W$85,6,FALSE)&gt;10,VLOOKUP(B31,'коначна табела финал'!$B$1:$W$85,6,FALSE),0)</f>
        <v>#N/A</v>
      </c>
      <c r="H31" s="28">
        <f>'коначна табела финал'!$H$11</f>
        <v>0</v>
      </c>
      <c r="I31" s="25" t="e">
        <f>VLOOKUP(B31,'коначна табела финал'!$B$1:$W$85,7,FALSE)</f>
        <v>#N/A</v>
      </c>
      <c r="J31" s="28">
        <f>'коначна табела финал'!$I$11</f>
        <v>0</v>
      </c>
      <c r="K31" s="30" t="e">
        <f>VLOOKUP(B31,'коначна табела финал'!$B$12:$W$81,$M$5+8,FALSE)</f>
        <v>#N/A</v>
      </c>
      <c r="L31" s="25" t="e">
        <f>VLOOKUP(B31,'коначна табела финал'!$B$1:$W$85,19,FALSE)</f>
        <v>#N/A</v>
      </c>
      <c r="M31" s="31" t="e">
        <f t="shared" ref="M31:M68" si="8">IF(AND(ISNUMBER(K31),C31="С"),L31,"-")</f>
        <v>#N/A</v>
      </c>
      <c r="N31" s="31" t="e">
        <f t="shared" ref="N31:N68" si="9">IF(AND(ISNUMBER(K31),C31="О"),L31,"-")</f>
        <v>#N/A</v>
      </c>
      <c r="O31" s="32" t="e">
        <f t="shared" ref="O31:O68" si="10"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#N/A</v>
      </c>
    </row>
    <row r="32" spans="1:15" ht="12.75" hidden="1" customHeight="1" x14ac:dyDescent="0.25">
      <c r="A32" s="41">
        <v>16</v>
      </c>
      <c r="B32" s="18"/>
      <c r="C32" s="19" t="e">
        <f>VLOOKUP(B32,'коначна табела финал'!$B$1:$W$85,22,FALSE)</f>
        <v>#N/A</v>
      </c>
      <c r="D32" s="21" t="e">
        <f>VLOOKUP(B32,'коначна табела финал'!$B$1:$W$85,21,FALSE)</f>
        <v>#N/A</v>
      </c>
      <c r="E32" s="23" t="e">
        <f>VLOOKUP(B32,'коначна табела финал'!$B$1:$W$85,2,FALSE)</f>
        <v>#N/A</v>
      </c>
      <c r="F32" s="25" t="e">
        <f>VLOOKUP(B32,'коначна табела финал'!$B$1:$W$85,5,FALSE)</f>
        <v>#N/A</v>
      </c>
      <c r="G32" s="25" t="e">
        <f>IF(VLOOKUP(B32,'коначна табела финал'!$B$1:$W$85,6,FALSE)&gt;10,VLOOKUP(B32,'коначна табела финал'!$B$1:$W$85,6,FALSE),0)</f>
        <v>#N/A</v>
      </c>
      <c r="H32" s="28">
        <f>'коначна табела финал'!$H$11</f>
        <v>0</v>
      </c>
      <c r="I32" s="25" t="e">
        <f>VLOOKUP(B32,'коначна табела финал'!$B$1:$W$85,7,FALSE)</f>
        <v>#N/A</v>
      </c>
      <c r="J32" s="28">
        <f>'коначна табела финал'!$I$11</f>
        <v>0</v>
      </c>
      <c r="K32" s="30" t="e">
        <f>VLOOKUP(B32,'коначна табела финал'!$B$12:$W$81,$M$5+8,FALSE)</f>
        <v>#N/A</v>
      </c>
      <c r="L32" s="25" t="e">
        <f>VLOOKUP(B32,'коначна табела финал'!$B$1:$W$85,19,FALSE)</f>
        <v>#N/A</v>
      </c>
      <c r="M32" s="31" t="e">
        <f t="shared" si="8"/>
        <v>#N/A</v>
      </c>
      <c r="N32" s="31" t="e">
        <f t="shared" si="9"/>
        <v>#N/A</v>
      </c>
      <c r="O32" s="32" t="e">
        <f t="shared" si="10"/>
        <v>#N/A</v>
      </c>
    </row>
    <row r="33" spans="1:15" ht="12.75" hidden="1" customHeight="1" x14ac:dyDescent="0.25">
      <c r="A33" s="41">
        <v>17</v>
      </c>
      <c r="B33" s="18"/>
      <c r="C33" s="19" t="e">
        <f>VLOOKUP(B33,'коначна табела финал'!$B$1:$W$85,22,FALSE)</f>
        <v>#N/A</v>
      </c>
      <c r="D33" s="21" t="e">
        <f>VLOOKUP(B33,'коначна табела финал'!$B$1:$W$85,21,FALSE)</f>
        <v>#N/A</v>
      </c>
      <c r="E33" s="23" t="e">
        <f>VLOOKUP(B33,'коначна табела финал'!$B$1:$W$85,2,FALSE)</f>
        <v>#N/A</v>
      </c>
      <c r="F33" s="25" t="e">
        <f>VLOOKUP(B33,'коначна табела финал'!$B$1:$W$85,5,FALSE)</f>
        <v>#N/A</v>
      </c>
      <c r="G33" s="25" t="e">
        <f>IF(VLOOKUP(B33,'коначна табела финал'!$B$1:$W$85,6,FALSE)&gt;10,VLOOKUP(B33,'коначна табела финал'!$B$1:$W$85,6,FALSE),0)</f>
        <v>#N/A</v>
      </c>
      <c r="H33" s="28">
        <f>'коначна табела финал'!$H$11</f>
        <v>0</v>
      </c>
      <c r="I33" s="25" t="e">
        <f>VLOOKUP(B33,'коначна табела финал'!$B$1:$W$85,7,FALSE)</f>
        <v>#N/A</v>
      </c>
      <c r="J33" s="28">
        <f>'коначна табела финал'!$I$11</f>
        <v>0</v>
      </c>
      <c r="K33" s="30" t="e">
        <f>VLOOKUP(B33,'коначна табела финал'!$B$12:$W$81,$M$5+8,FALSE)</f>
        <v>#N/A</v>
      </c>
      <c r="L33" s="25" t="e">
        <f>VLOOKUP(B33,'коначна табела финал'!$B$1:$W$85,19,FALSE)</f>
        <v>#N/A</v>
      </c>
      <c r="M33" s="31" t="e">
        <f t="shared" si="8"/>
        <v>#N/A</v>
      </c>
      <c r="N33" s="31" t="e">
        <f t="shared" si="9"/>
        <v>#N/A</v>
      </c>
      <c r="O33" s="32" t="e">
        <f t="shared" si="10"/>
        <v>#N/A</v>
      </c>
    </row>
    <row r="34" spans="1:15" ht="12.75" hidden="1" customHeight="1" x14ac:dyDescent="0.25">
      <c r="A34" s="41">
        <v>18</v>
      </c>
      <c r="B34" s="18"/>
      <c r="C34" s="19" t="e">
        <f>VLOOKUP(B34,'коначна табела финал'!$B$1:$W$85,22,FALSE)</f>
        <v>#N/A</v>
      </c>
      <c r="D34" s="21" t="e">
        <f>VLOOKUP(B34,'коначна табела финал'!$B$1:$W$85,21,FALSE)</f>
        <v>#N/A</v>
      </c>
      <c r="E34" s="23" t="e">
        <f>VLOOKUP(B34,'коначна табела финал'!$B$1:$W$85,2,FALSE)</f>
        <v>#N/A</v>
      </c>
      <c r="F34" s="25" t="e">
        <f>VLOOKUP(B34,'коначна табела финал'!$B$1:$W$85,5,FALSE)</f>
        <v>#N/A</v>
      </c>
      <c r="G34" s="25" t="e">
        <f>IF(VLOOKUP(B34,'коначна табела финал'!$B$1:$W$85,6,FALSE)&gt;10,VLOOKUP(B34,'коначна табела финал'!$B$1:$W$85,6,FALSE),0)</f>
        <v>#N/A</v>
      </c>
      <c r="H34" s="28">
        <f>'коначна табела финал'!$H$11</f>
        <v>0</v>
      </c>
      <c r="I34" s="25" t="e">
        <f>VLOOKUP(B34,'коначна табела финал'!$B$1:$W$85,7,FALSE)</f>
        <v>#N/A</v>
      </c>
      <c r="J34" s="28">
        <f>'коначна табела финал'!$I$11</f>
        <v>0</v>
      </c>
      <c r="K34" s="30" t="e">
        <f>VLOOKUP(B34,'коначна табела финал'!$B$12:$W$81,$M$5+8,FALSE)</f>
        <v>#N/A</v>
      </c>
      <c r="L34" s="25" t="e">
        <f>VLOOKUP(B34,'коначна табела финал'!$B$1:$W$85,19,FALSE)</f>
        <v>#N/A</v>
      </c>
      <c r="M34" s="31" t="e">
        <f t="shared" si="8"/>
        <v>#N/A</v>
      </c>
      <c r="N34" s="31" t="e">
        <f t="shared" si="9"/>
        <v>#N/A</v>
      </c>
      <c r="O34" s="32" t="e">
        <f t="shared" si="10"/>
        <v>#N/A</v>
      </c>
    </row>
    <row r="35" spans="1:15" ht="12.75" hidden="1" customHeight="1" x14ac:dyDescent="0.25">
      <c r="A35" s="41">
        <v>19</v>
      </c>
      <c r="B35" s="18"/>
      <c r="C35" s="19" t="e">
        <f>VLOOKUP(B35,'коначна табела финал'!$B$1:$W$85,22,FALSE)</f>
        <v>#N/A</v>
      </c>
      <c r="D35" s="21" t="e">
        <f>VLOOKUP(B35,'коначна табела финал'!$B$1:$W$85,21,FALSE)</f>
        <v>#N/A</v>
      </c>
      <c r="E35" s="23" t="e">
        <f>VLOOKUP(B35,'коначна табела финал'!$B$1:$W$85,2,FALSE)</f>
        <v>#N/A</v>
      </c>
      <c r="F35" s="25" t="e">
        <f>VLOOKUP(B35,'коначна табела финал'!$B$1:$W$85,5,FALSE)</f>
        <v>#N/A</v>
      </c>
      <c r="G35" s="25" t="e">
        <f>IF(VLOOKUP(B35,'коначна табела финал'!$B$1:$W$85,6,FALSE)&gt;10,VLOOKUP(B35,'коначна табела финал'!$B$1:$W$85,6,FALSE),0)</f>
        <v>#N/A</v>
      </c>
      <c r="H35" s="28">
        <f>'коначна табела финал'!$H$11</f>
        <v>0</v>
      </c>
      <c r="I35" s="25" t="e">
        <f>VLOOKUP(B35,'коначна табела финал'!$B$1:$W$85,7,FALSE)</f>
        <v>#N/A</v>
      </c>
      <c r="J35" s="28">
        <f>'коначна табела финал'!$I$11</f>
        <v>0</v>
      </c>
      <c r="K35" s="30" t="e">
        <f>VLOOKUP(B35,'коначна табела финал'!$B$12:$W$81,$M$5+8,FALSE)</f>
        <v>#N/A</v>
      </c>
      <c r="L35" s="25" t="e">
        <f>VLOOKUP(B35,'коначна табела финал'!$B$1:$W$85,19,FALSE)</f>
        <v>#N/A</v>
      </c>
      <c r="M35" s="31" t="e">
        <f t="shared" si="8"/>
        <v>#N/A</v>
      </c>
      <c r="N35" s="31" t="e">
        <f t="shared" si="9"/>
        <v>#N/A</v>
      </c>
      <c r="O35" s="32" t="e">
        <f t="shared" si="10"/>
        <v>#N/A</v>
      </c>
    </row>
    <row r="36" spans="1:15" ht="12.75" hidden="1" customHeight="1" x14ac:dyDescent="0.25">
      <c r="A36" s="41">
        <v>20</v>
      </c>
      <c r="B36" s="18"/>
      <c r="C36" s="19" t="e">
        <f>VLOOKUP(B36,'коначна табела финал'!$B$1:$W$85,22,FALSE)</f>
        <v>#N/A</v>
      </c>
      <c r="D36" s="21" t="e">
        <f>VLOOKUP(B36,'коначна табела финал'!$B$1:$W$85,21,FALSE)</f>
        <v>#N/A</v>
      </c>
      <c r="E36" s="23" t="e">
        <f>VLOOKUP(B36,'коначна табела финал'!$B$1:$W$85,2,FALSE)</f>
        <v>#N/A</v>
      </c>
      <c r="F36" s="25" t="e">
        <f>VLOOKUP(B36,'коначна табела финал'!$B$1:$W$85,5,FALSE)</f>
        <v>#N/A</v>
      </c>
      <c r="G36" s="25" t="e">
        <f>IF(VLOOKUP(B36,'коначна табела финал'!$B$1:$W$85,6,FALSE)&gt;10,VLOOKUP(B36,'коначна табела финал'!$B$1:$W$85,6,FALSE),0)</f>
        <v>#N/A</v>
      </c>
      <c r="H36" s="28">
        <f>'коначна табела финал'!$H$11</f>
        <v>0</v>
      </c>
      <c r="I36" s="25" t="e">
        <f>VLOOKUP(B36,'коначна табела финал'!$B$1:$W$85,7,FALSE)</f>
        <v>#N/A</v>
      </c>
      <c r="J36" s="28">
        <f>'коначна табела финал'!$I$11</f>
        <v>0</v>
      </c>
      <c r="K36" s="30" t="e">
        <f>VLOOKUP(B36,'коначна табела финал'!$B$12:$W$81,$M$5+8,FALSE)</f>
        <v>#N/A</v>
      </c>
      <c r="L36" s="25" t="e">
        <f>VLOOKUP(B36,'коначна табела финал'!$B$1:$W$85,19,FALSE)</f>
        <v>#N/A</v>
      </c>
      <c r="M36" s="31" t="e">
        <f t="shared" si="8"/>
        <v>#N/A</v>
      </c>
      <c r="N36" s="31" t="e">
        <f t="shared" si="9"/>
        <v>#N/A</v>
      </c>
      <c r="O36" s="32" t="e">
        <f t="shared" si="10"/>
        <v>#N/A</v>
      </c>
    </row>
    <row r="37" spans="1:15" ht="12.75" hidden="1" customHeight="1" x14ac:dyDescent="0.25">
      <c r="A37" s="41">
        <v>21</v>
      </c>
      <c r="B37" s="18"/>
      <c r="C37" s="19" t="e">
        <f>VLOOKUP(B37,'коначна табела финал'!$B$1:$W$85,22,FALSE)</f>
        <v>#N/A</v>
      </c>
      <c r="D37" s="21" t="e">
        <f>VLOOKUP(B37,'коначна табела финал'!$B$1:$W$85,21,FALSE)</f>
        <v>#N/A</v>
      </c>
      <c r="E37" s="23" t="e">
        <f>VLOOKUP(B37,'коначна табела финал'!$B$1:$W$85,2,FALSE)</f>
        <v>#N/A</v>
      </c>
      <c r="F37" s="25" t="e">
        <f>VLOOKUP(B37,'коначна табела финал'!$B$1:$W$85,5,FALSE)</f>
        <v>#N/A</v>
      </c>
      <c r="G37" s="25" t="e">
        <f>IF(VLOOKUP(B37,'коначна табела финал'!$B$1:$W$85,6,FALSE)&gt;10,VLOOKUP(B37,'коначна табела финал'!$B$1:$W$85,6,FALSE),0)</f>
        <v>#N/A</v>
      </c>
      <c r="H37" s="28">
        <f>'коначна табела финал'!$H$11</f>
        <v>0</v>
      </c>
      <c r="I37" s="25" t="e">
        <f>VLOOKUP(B37,'коначна табела финал'!$B$1:$W$85,7,FALSE)</f>
        <v>#N/A</v>
      </c>
      <c r="J37" s="28">
        <f>'коначна табела финал'!$I$11</f>
        <v>0</v>
      </c>
      <c r="K37" s="30" t="e">
        <f>VLOOKUP(B37,'коначна табела финал'!$B$12:$W$81,$M$5+8,FALSE)</f>
        <v>#N/A</v>
      </c>
      <c r="L37" s="25" t="e">
        <f>VLOOKUP(B37,'коначна табела финал'!$B$1:$W$85,19,FALSE)</f>
        <v>#N/A</v>
      </c>
      <c r="M37" s="31" t="e">
        <f t="shared" si="8"/>
        <v>#N/A</v>
      </c>
      <c r="N37" s="31" t="e">
        <f t="shared" si="9"/>
        <v>#N/A</v>
      </c>
      <c r="O37" s="32" t="e">
        <f t="shared" si="10"/>
        <v>#N/A</v>
      </c>
    </row>
    <row r="38" spans="1:15" ht="12.75" hidden="1" customHeight="1" x14ac:dyDescent="0.25">
      <c r="A38" s="41">
        <v>22</v>
      </c>
      <c r="B38" s="18"/>
      <c r="C38" s="19" t="e">
        <f>VLOOKUP(B38,'коначна табела финал'!$B$1:$W$85,22,FALSE)</f>
        <v>#N/A</v>
      </c>
      <c r="D38" s="21" t="e">
        <f>VLOOKUP(B38,'коначна табела финал'!$B$1:$W$85,21,FALSE)</f>
        <v>#N/A</v>
      </c>
      <c r="E38" s="23" t="e">
        <f>VLOOKUP(B38,'коначна табела финал'!$B$1:$W$85,2,FALSE)</f>
        <v>#N/A</v>
      </c>
      <c r="F38" s="25" t="e">
        <f>VLOOKUP(B38,'коначна табела финал'!$B$1:$W$85,5,FALSE)</f>
        <v>#N/A</v>
      </c>
      <c r="G38" s="25" t="e">
        <f>IF(VLOOKUP(B38,'коначна табела финал'!$B$1:$W$85,6,FALSE)&gt;10,VLOOKUP(B38,'коначна табела финал'!$B$1:$W$85,6,FALSE),0)</f>
        <v>#N/A</v>
      </c>
      <c r="H38" s="28">
        <f>'коначна табела финал'!$H$11</f>
        <v>0</v>
      </c>
      <c r="I38" s="25" t="e">
        <f>VLOOKUP(B38,'коначна табела финал'!$B$1:$W$85,7,FALSE)</f>
        <v>#N/A</v>
      </c>
      <c r="J38" s="28">
        <f>'коначна табела финал'!$I$11</f>
        <v>0</v>
      </c>
      <c r="K38" s="30" t="e">
        <f>VLOOKUP(B38,'коначна табела финал'!$B$12:$W$81,$M$5+8,FALSE)</f>
        <v>#N/A</v>
      </c>
      <c r="L38" s="25" t="e">
        <f>VLOOKUP(B38,'коначна табела финал'!$B$1:$W$85,19,FALSE)</f>
        <v>#N/A</v>
      </c>
      <c r="M38" s="31" t="e">
        <f t="shared" si="8"/>
        <v>#N/A</v>
      </c>
      <c r="N38" s="31" t="e">
        <f t="shared" si="9"/>
        <v>#N/A</v>
      </c>
      <c r="O38" s="32" t="e">
        <f t="shared" si="10"/>
        <v>#N/A</v>
      </c>
    </row>
    <row r="39" spans="1:15" ht="12.75" hidden="1" customHeight="1" x14ac:dyDescent="0.25">
      <c r="A39" s="41">
        <v>23</v>
      </c>
      <c r="B39" s="18"/>
      <c r="C39" s="19" t="e">
        <f>VLOOKUP(B39,'коначна табела финал'!$B$1:$W$85,22,FALSE)</f>
        <v>#N/A</v>
      </c>
      <c r="D39" s="21" t="e">
        <f>VLOOKUP(B39,'коначна табела финал'!$B$1:$W$85,21,FALSE)</f>
        <v>#N/A</v>
      </c>
      <c r="E39" s="23" t="e">
        <f>VLOOKUP(B39,'коначна табела финал'!$B$1:$W$85,2,FALSE)</f>
        <v>#N/A</v>
      </c>
      <c r="F39" s="25" t="e">
        <f>VLOOKUP(B39,'коначна табела финал'!$B$1:$W$85,5,FALSE)</f>
        <v>#N/A</v>
      </c>
      <c r="G39" s="25" t="e">
        <f>IF(VLOOKUP(B39,'коначна табела финал'!$B$1:$W$85,6,FALSE)&gt;10,VLOOKUP(B39,'коначна табела финал'!$B$1:$W$85,6,FALSE),0)</f>
        <v>#N/A</v>
      </c>
      <c r="H39" s="28">
        <f>'коначна табела финал'!$H$11</f>
        <v>0</v>
      </c>
      <c r="I39" s="25" t="e">
        <f>VLOOKUP(B39,'коначна табела финал'!$B$1:$W$85,7,FALSE)</f>
        <v>#N/A</v>
      </c>
      <c r="J39" s="28">
        <f>'коначна табела финал'!$I$11</f>
        <v>0</v>
      </c>
      <c r="K39" s="30" t="e">
        <f>VLOOKUP(B39,'коначна табела финал'!$B$12:$W$81,$M$5+8,FALSE)</f>
        <v>#N/A</v>
      </c>
      <c r="L39" s="25" t="e">
        <f>VLOOKUP(B39,'коначна табела финал'!$B$1:$W$85,19,FALSE)</f>
        <v>#N/A</v>
      </c>
      <c r="M39" s="31" t="e">
        <f t="shared" si="8"/>
        <v>#N/A</v>
      </c>
      <c r="N39" s="31" t="e">
        <f t="shared" si="9"/>
        <v>#N/A</v>
      </c>
      <c r="O39" s="32" t="e">
        <f t="shared" si="10"/>
        <v>#N/A</v>
      </c>
    </row>
    <row r="40" spans="1:15" ht="12.75" hidden="1" customHeight="1" x14ac:dyDescent="0.25">
      <c r="A40" s="41">
        <v>24</v>
      </c>
      <c r="B40" s="18"/>
      <c r="C40" s="19" t="e">
        <f>VLOOKUP(B40,'коначна табела финал'!$B$1:$W$85,22,FALSE)</f>
        <v>#N/A</v>
      </c>
      <c r="D40" s="21" t="e">
        <f>VLOOKUP(B40,'коначна табела финал'!$B$1:$W$85,21,FALSE)</f>
        <v>#N/A</v>
      </c>
      <c r="E40" s="23" t="e">
        <f>VLOOKUP(B40,'коначна табела финал'!$B$1:$W$85,2,FALSE)</f>
        <v>#N/A</v>
      </c>
      <c r="F40" s="25" t="e">
        <f>VLOOKUP(B40,'коначна табела финал'!$B$1:$W$85,5,FALSE)</f>
        <v>#N/A</v>
      </c>
      <c r="G40" s="25" t="e">
        <f>IF(VLOOKUP(B40,'коначна табела финал'!$B$1:$W$85,6,FALSE)&gt;10,VLOOKUP(B40,'коначна табела финал'!$B$1:$W$85,6,FALSE),0)</f>
        <v>#N/A</v>
      </c>
      <c r="H40" s="28">
        <f>'коначна табела финал'!$H$11</f>
        <v>0</v>
      </c>
      <c r="I40" s="25" t="e">
        <f>VLOOKUP(B40,'коначна табела финал'!$B$1:$W$85,7,FALSE)</f>
        <v>#N/A</v>
      </c>
      <c r="J40" s="28">
        <f>'коначна табела финал'!$I$11</f>
        <v>0</v>
      </c>
      <c r="K40" s="30" t="e">
        <f>VLOOKUP(B40,'коначна табела финал'!$B$12:$W$81,$M$5+8,FALSE)</f>
        <v>#N/A</v>
      </c>
      <c r="L40" s="25" t="e">
        <f>VLOOKUP(B40,'коначна табела финал'!$B$1:$W$85,19,FALSE)</f>
        <v>#N/A</v>
      </c>
      <c r="M40" s="31" t="e">
        <f t="shared" si="8"/>
        <v>#N/A</v>
      </c>
      <c r="N40" s="31" t="e">
        <f t="shared" si="9"/>
        <v>#N/A</v>
      </c>
      <c r="O40" s="32" t="e">
        <f t="shared" si="10"/>
        <v>#N/A</v>
      </c>
    </row>
    <row r="41" spans="1:15" ht="12.75" hidden="1" customHeight="1" x14ac:dyDescent="0.25">
      <c r="A41" s="41">
        <v>25</v>
      </c>
      <c r="B41" s="18"/>
      <c r="C41" s="19" t="e">
        <f>VLOOKUP(B41,'коначна табела финал'!$B$1:$W$85,22,FALSE)</f>
        <v>#N/A</v>
      </c>
      <c r="D41" s="21" t="e">
        <f>VLOOKUP(B41,'коначна табела финал'!$B$1:$W$85,21,FALSE)</f>
        <v>#N/A</v>
      </c>
      <c r="E41" s="23" t="e">
        <f>VLOOKUP(B41,'коначна табела финал'!$B$1:$W$85,2,FALSE)</f>
        <v>#N/A</v>
      </c>
      <c r="F41" s="25" t="e">
        <f>VLOOKUP(B41,'коначна табела финал'!$B$1:$W$85,5,FALSE)</f>
        <v>#N/A</v>
      </c>
      <c r="G41" s="25" t="e">
        <f>IF(VLOOKUP(B41,'коначна табела финал'!$B$1:$W$85,6,FALSE)&gt;10,VLOOKUP(B41,'коначна табела финал'!$B$1:$W$85,6,FALSE),0)</f>
        <v>#N/A</v>
      </c>
      <c r="H41" s="28">
        <f>'коначна табела финал'!$H$11</f>
        <v>0</v>
      </c>
      <c r="I41" s="25" t="e">
        <f>VLOOKUP(B41,'коначна табела финал'!$B$1:$W$85,7,FALSE)</f>
        <v>#N/A</v>
      </c>
      <c r="J41" s="28">
        <f>'коначна табела финал'!$I$11</f>
        <v>0</v>
      </c>
      <c r="K41" s="30" t="e">
        <f>VLOOKUP(B41,'коначна табела финал'!$B$12:$W$81,$M$5+8,FALSE)</f>
        <v>#N/A</v>
      </c>
      <c r="L41" s="25" t="e">
        <f>VLOOKUP(B41,'коначна табела финал'!$B$1:$W$85,19,FALSE)</f>
        <v>#N/A</v>
      </c>
      <c r="M41" s="31" t="e">
        <f t="shared" si="8"/>
        <v>#N/A</v>
      </c>
      <c r="N41" s="31" t="e">
        <f t="shared" si="9"/>
        <v>#N/A</v>
      </c>
      <c r="O41" s="32" t="e">
        <f t="shared" si="10"/>
        <v>#N/A</v>
      </c>
    </row>
    <row r="42" spans="1:15" ht="12.75" hidden="1" customHeight="1" x14ac:dyDescent="0.25">
      <c r="A42" s="41">
        <v>26</v>
      </c>
      <c r="B42" s="18"/>
      <c r="C42" s="19" t="e">
        <f>VLOOKUP(B42,'коначна табела финал'!$B$1:$W$85,22,FALSE)</f>
        <v>#N/A</v>
      </c>
      <c r="D42" s="21" t="e">
        <f>VLOOKUP(B42,'коначна табела финал'!$B$1:$W$85,21,FALSE)</f>
        <v>#N/A</v>
      </c>
      <c r="E42" s="23" t="e">
        <f>VLOOKUP(B42,'коначна табела финал'!$B$1:$W$85,2,FALSE)</f>
        <v>#N/A</v>
      </c>
      <c r="F42" s="25" t="e">
        <f>VLOOKUP(B42,'коначна табела финал'!$B$1:$W$85,5,FALSE)</f>
        <v>#N/A</v>
      </c>
      <c r="G42" s="25" t="e">
        <f>IF(VLOOKUP(B42,'коначна табела финал'!$B$1:$W$85,6,FALSE)&gt;10,VLOOKUP(B42,'коначна табела финал'!$B$1:$W$85,6,FALSE),0)</f>
        <v>#N/A</v>
      </c>
      <c r="H42" s="28">
        <f>'коначна табела финал'!$H$11</f>
        <v>0</v>
      </c>
      <c r="I42" s="25" t="e">
        <f>VLOOKUP(B42,'коначна табела финал'!$B$1:$W$85,7,FALSE)</f>
        <v>#N/A</v>
      </c>
      <c r="J42" s="28">
        <f>'коначна табела финал'!$I$11</f>
        <v>0</v>
      </c>
      <c r="K42" s="30" t="e">
        <f>VLOOKUP(B42,'коначна табела финал'!$B$12:$W$81,$M$5+8,FALSE)</f>
        <v>#N/A</v>
      </c>
      <c r="L42" s="25" t="e">
        <f>VLOOKUP(B42,'коначна табела финал'!$B$1:$W$85,19,FALSE)</f>
        <v>#N/A</v>
      </c>
      <c r="M42" s="31" t="e">
        <f t="shared" si="8"/>
        <v>#N/A</v>
      </c>
      <c r="N42" s="31" t="e">
        <f t="shared" si="9"/>
        <v>#N/A</v>
      </c>
      <c r="O42" s="32" t="e">
        <f t="shared" si="10"/>
        <v>#N/A</v>
      </c>
    </row>
    <row r="43" spans="1:15" ht="12.75" hidden="1" customHeight="1" x14ac:dyDescent="0.25">
      <c r="A43" s="41">
        <v>27</v>
      </c>
      <c r="B43" s="18"/>
      <c r="C43" s="19" t="e">
        <f>VLOOKUP(B43,'коначна табела финал'!$B$1:$W$85,22,FALSE)</f>
        <v>#N/A</v>
      </c>
      <c r="D43" s="21" t="e">
        <f>VLOOKUP(B43,'коначна табела финал'!$B$1:$W$85,21,FALSE)</f>
        <v>#N/A</v>
      </c>
      <c r="E43" s="23" t="e">
        <f>VLOOKUP(B43,'коначна табела финал'!$B$1:$W$85,2,FALSE)</f>
        <v>#N/A</v>
      </c>
      <c r="F43" s="25" t="e">
        <f>VLOOKUP(B43,'коначна табела финал'!$B$1:$W$85,5,FALSE)</f>
        <v>#N/A</v>
      </c>
      <c r="G43" s="25" t="e">
        <f>IF(VLOOKUP(B43,'коначна табела финал'!$B$1:$W$85,6,FALSE)&gt;10,VLOOKUP(B43,'коначна табела финал'!$B$1:$W$85,6,FALSE),0)</f>
        <v>#N/A</v>
      </c>
      <c r="H43" s="28">
        <f>'коначна табела финал'!$H$11</f>
        <v>0</v>
      </c>
      <c r="I43" s="25" t="e">
        <f>VLOOKUP(B43,'коначна табела финал'!$B$1:$W$85,7,FALSE)</f>
        <v>#N/A</v>
      </c>
      <c r="J43" s="28">
        <f>'коначна табела финал'!$I$11</f>
        <v>0</v>
      </c>
      <c r="K43" s="30" t="e">
        <f>VLOOKUP(B43,'коначна табела финал'!$B$12:$W$81,$M$5+8,FALSE)</f>
        <v>#N/A</v>
      </c>
      <c r="L43" s="25" t="e">
        <f>VLOOKUP(B43,'коначна табела финал'!$B$1:$W$85,19,FALSE)</f>
        <v>#N/A</v>
      </c>
      <c r="M43" s="31" t="e">
        <f t="shared" si="8"/>
        <v>#N/A</v>
      </c>
      <c r="N43" s="31" t="e">
        <f t="shared" si="9"/>
        <v>#N/A</v>
      </c>
      <c r="O43" s="32" t="e">
        <f t="shared" si="10"/>
        <v>#N/A</v>
      </c>
    </row>
    <row r="44" spans="1:15" ht="12.75" hidden="1" customHeight="1" x14ac:dyDescent="0.25">
      <c r="A44" s="41">
        <v>28</v>
      </c>
      <c r="B44" s="18"/>
      <c r="C44" s="19" t="e">
        <f>VLOOKUP(B44,'коначна табела финал'!$B$1:$W$85,22,FALSE)</f>
        <v>#N/A</v>
      </c>
      <c r="D44" s="21" t="e">
        <f>VLOOKUP(B44,'коначна табела финал'!$B$1:$W$85,21,FALSE)</f>
        <v>#N/A</v>
      </c>
      <c r="E44" s="23" t="e">
        <f>VLOOKUP(B44,'коначна табела финал'!$B$1:$W$85,2,FALSE)</f>
        <v>#N/A</v>
      </c>
      <c r="F44" s="25" t="e">
        <f>VLOOKUP(B44,'коначна табела финал'!$B$1:$W$85,5,FALSE)</f>
        <v>#N/A</v>
      </c>
      <c r="G44" s="25" t="e">
        <f>IF(VLOOKUP(B44,'коначна табела финал'!$B$1:$W$85,6,FALSE)&gt;10,VLOOKUP(B44,'коначна табела финал'!$B$1:$W$85,6,FALSE),0)</f>
        <v>#N/A</v>
      </c>
      <c r="H44" s="28">
        <f>'коначна табела финал'!$H$11</f>
        <v>0</v>
      </c>
      <c r="I44" s="25" t="e">
        <f>VLOOKUP(B44,'коначна табела финал'!$B$1:$W$85,7,FALSE)</f>
        <v>#N/A</v>
      </c>
      <c r="J44" s="28">
        <f>'коначна табела финал'!$I$11</f>
        <v>0</v>
      </c>
      <c r="K44" s="30" t="e">
        <f>VLOOKUP(B44,'коначна табела финал'!$B$12:$W$81,$M$5+8,FALSE)</f>
        <v>#N/A</v>
      </c>
      <c r="L44" s="25" t="e">
        <f>VLOOKUP(B44,'коначна табела финал'!$B$1:$W$85,19,FALSE)</f>
        <v>#N/A</v>
      </c>
      <c r="M44" s="31" t="e">
        <f t="shared" si="8"/>
        <v>#N/A</v>
      </c>
      <c r="N44" s="31" t="e">
        <f t="shared" si="9"/>
        <v>#N/A</v>
      </c>
      <c r="O44" s="32" t="e">
        <f t="shared" si="10"/>
        <v>#N/A</v>
      </c>
    </row>
    <row r="45" spans="1:15" ht="12.75" hidden="1" customHeight="1" x14ac:dyDescent="0.25">
      <c r="A45" s="41">
        <v>29</v>
      </c>
      <c r="B45" s="18"/>
      <c r="C45" s="19" t="e">
        <f>VLOOKUP(B45,'коначна табела финал'!$B$1:$W$85,22,FALSE)</f>
        <v>#N/A</v>
      </c>
      <c r="D45" s="21" t="e">
        <f>VLOOKUP(B45,'коначна табела финал'!$B$1:$W$85,21,FALSE)</f>
        <v>#N/A</v>
      </c>
      <c r="E45" s="23" t="e">
        <f>VLOOKUP(B45,'коначна табела финал'!$B$1:$W$85,2,FALSE)</f>
        <v>#N/A</v>
      </c>
      <c r="F45" s="25" t="e">
        <f>VLOOKUP(B45,'коначна табела финал'!$B$1:$W$85,5,FALSE)</f>
        <v>#N/A</v>
      </c>
      <c r="G45" s="25" t="e">
        <f>IF(VLOOKUP(B45,'коначна табела финал'!$B$1:$W$85,6,FALSE)&gt;10,VLOOKUP(B45,'коначна табела финал'!$B$1:$W$85,6,FALSE),0)</f>
        <v>#N/A</v>
      </c>
      <c r="H45" s="28">
        <f>'коначна табела финал'!$H$11</f>
        <v>0</v>
      </c>
      <c r="I45" s="25" t="e">
        <f>VLOOKUP(B45,'коначна табела финал'!$B$1:$W$85,7,FALSE)</f>
        <v>#N/A</v>
      </c>
      <c r="J45" s="28">
        <f>'коначна табела финал'!$I$11</f>
        <v>0</v>
      </c>
      <c r="K45" s="30" t="e">
        <f>VLOOKUP(B45,'коначна табела финал'!$B$12:$W$81,$M$5+8,FALSE)</f>
        <v>#N/A</v>
      </c>
      <c r="L45" s="25" t="e">
        <f>VLOOKUP(B45,'коначна табела финал'!$B$1:$W$85,19,FALSE)</f>
        <v>#N/A</v>
      </c>
      <c r="M45" s="31" t="e">
        <f t="shared" si="8"/>
        <v>#N/A</v>
      </c>
      <c r="N45" s="31" t="e">
        <f t="shared" si="9"/>
        <v>#N/A</v>
      </c>
      <c r="O45" s="32" t="e">
        <f t="shared" si="10"/>
        <v>#N/A</v>
      </c>
    </row>
    <row r="46" spans="1:15" ht="12.75" hidden="1" customHeight="1" x14ac:dyDescent="0.25">
      <c r="A46" s="41">
        <v>30</v>
      </c>
      <c r="B46" s="18"/>
      <c r="C46" s="19" t="e">
        <f>VLOOKUP(B46,'коначна табела финал'!$B$1:$W$85,22,FALSE)</f>
        <v>#N/A</v>
      </c>
      <c r="D46" s="21" t="e">
        <f>VLOOKUP(B46,'коначна табела финал'!$B$1:$W$85,21,FALSE)</f>
        <v>#N/A</v>
      </c>
      <c r="E46" s="23" t="e">
        <f>VLOOKUP(B46,'коначна табела финал'!$B$1:$W$85,2,FALSE)</f>
        <v>#N/A</v>
      </c>
      <c r="F46" s="25" t="e">
        <f>VLOOKUP(B46,'коначна табела финал'!$B$1:$W$85,5,FALSE)</f>
        <v>#N/A</v>
      </c>
      <c r="G46" s="25" t="e">
        <f>IF(VLOOKUP(B46,'коначна табела финал'!$B$1:$W$85,6,FALSE)&gt;10,VLOOKUP(B46,'коначна табела финал'!$B$1:$W$85,6,FALSE),0)</f>
        <v>#N/A</v>
      </c>
      <c r="H46" s="28">
        <f>'коначна табела финал'!$H$11</f>
        <v>0</v>
      </c>
      <c r="I46" s="25" t="e">
        <f>VLOOKUP(B46,'коначна табела финал'!$B$1:$W$85,7,FALSE)</f>
        <v>#N/A</v>
      </c>
      <c r="J46" s="28">
        <f>'коначна табела финал'!$I$11</f>
        <v>0</v>
      </c>
      <c r="K46" s="30" t="e">
        <f>VLOOKUP(B46,'коначна табела финал'!$B$12:$W$81,$M$5+8,FALSE)</f>
        <v>#N/A</v>
      </c>
      <c r="L46" s="25" t="e">
        <f>VLOOKUP(B46,'коначна табела финал'!$B$1:$W$85,19,FALSE)</f>
        <v>#N/A</v>
      </c>
      <c r="M46" s="31" t="e">
        <f t="shared" si="8"/>
        <v>#N/A</v>
      </c>
      <c r="N46" s="31" t="e">
        <f t="shared" si="9"/>
        <v>#N/A</v>
      </c>
      <c r="O46" s="32" t="e">
        <f t="shared" si="10"/>
        <v>#N/A</v>
      </c>
    </row>
    <row r="47" spans="1:15" ht="12.75" hidden="1" customHeight="1" x14ac:dyDescent="0.25">
      <c r="A47" s="41">
        <v>31</v>
      </c>
      <c r="B47" s="18"/>
      <c r="C47" s="19" t="e">
        <f>VLOOKUP(B47,'коначна табела финал'!$B$1:$W$85,22,FALSE)</f>
        <v>#N/A</v>
      </c>
      <c r="D47" s="21" t="e">
        <f>VLOOKUP(B47,'коначна табела финал'!$B$1:$W$85,21,FALSE)</f>
        <v>#N/A</v>
      </c>
      <c r="E47" s="23" t="e">
        <f>VLOOKUP(B47,'коначна табела финал'!$B$1:$W$85,2,FALSE)</f>
        <v>#N/A</v>
      </c>
      <c r="F47" s="25" t="e">
        <f>VLOOKUP(B47,'коначна табела финал'!$B$1:$W$85,5,FALSE)</f>
        <v>#N/A</v>
      </c>
      <c r="G47" s="25" t="e">
        <f>IF(VLOOKUP(B47,'коначна табела финал'!$B$1:$W$85,6,FALSE)&gt;10,VLOOKUP(B47,'коначна табела финал'!$B$1:$W$85,6,FALSE),0)</f>
        <v>#N/A</v>
      </c>
      <c r="H47" s="28">
        <f>'коначна табела финал'!$H$11</f>
        <v>0</v>
      </c>
      <c r="I47" s="25" t="e">
        <f>VLOOKUP(B47,'коначна табела финал'!$B$1:$W$85,7,FALSE)</f>
        <v>#N/A</v>
      </c>
      <c r="J47" s="28">
        <f>'коначна табела финал'!$I$11</f>
        <v>0</v>
      </c>
      <c r="K47" s="30" t="e">
        <f>VLOOKUP(B47,'коначна табела финал'!$B$12:$W$81,$M$5+8,FALSE)</f>
        <v>#N/A</v>
      </c>
      <c r="L47" s="25" t="e">
        <f>VLOOKUP(B47,'коначна табела финал'!$B$1:$W$85,19,FALSE)</f>
        <v>#N/A</v>
      </c>
      <c r="M47" s="31" t="e">
        <f t="shared" si="8"/>
        <v>#N/A</v>
      </c>
      <c r="N47" s="31" t="e">
        <f t="shared" si="9"/>
        <v>#N/A</v>
      </c>
      <c r="O47" s="32" t="e">
        <f t="shared" si="10"/>
        <v>#N/A</v>
      </c>
    </row>
    <row r="48" spans="1:15" ht="12.75" hidden="1" customHeight="1" x14ac:dyDescent="0.25">
      <c r="A48" s="41">
        <v>32</v>
      </c>
      <c r="B48" s="18"/>
      <c r="C48" s="19" t="e">
        <f>VLOOKUP(B48,'коначна табела финал'!$B$1:$W$85,22,FALSE)</f>
        <v>#N/A</v>
      </c>
      <c r="D48" s="21" t="e">
        <f>VLOOKUP(B48,'коначна табела финал'!$B$1:$W$85,21,FALSE)</f>
        <v>#N/A</v>
      </c>
      <c r="E48" s="23" t="e">
        <f>VLOOKUP(B48,'коначна табела финал'!$B$1:$W$85,2,FALSE)</f>
        <v>#N/A</v>
      </c>
      <c r="F48" s="25" t="e">
        <f>VLOOKUP(B48,'коначна табела финал'!$B$1:$W$85,5,FALSE)</f>
        <v>#N/A</v>
      </c>
      <c r="G48" s="25" t="e">
        <f>IF(VLOOKUP(B48,'коначна табела финал'!$B$1:$W$85,6,FALSE)&gt;10,VLOOKUP(B48,'коначна табела финал'!$B$1:$W$85,6,FALSE),0)</f>
        <v>#N/A</v>
      </c>
      <c r="H48" s="28">
        <f>'коначна табела финал'!$H$11</f>
        <v>0</v>
      </c>
      <c r="I48" s="25" t="e">
        <f>VLOOKUP(B48,'коначна табела финал'!$B$1:$W$85,7,FALSE)</f>
        <v>#N/A</v>
      </c>
      <c r="J48" s="28">
        <f>'коначна табела финал'!$I$11</f>
        <v>0</v>
      </c>
      <c r="K48" s="30" t="e">
        <f>VLOOKUP(B48,'коначна табела финал'!$B$12:$W$81,$M$5+8,FALSE)</f>
        <v>#N/A</v>
      </c>
      <c r="L48" s="25" t="e">
        <f>VLOOKUP(B48,'коначна табела финал'!$B$1:$W$85,19,FALSE)</f>
        <v>#N/A</v>
      </c>
      <c r="M48" s="31" t="e">
        <f t="shared" si="8"/>
        <v>#N/A</v>
      </c>
      <c r="N48" s="31" t="e">
        <f t="shared" si="9"/>
        <v>#N/A</v>
      </c>
      <c r="O48" s="32" t="e">
        <f t="shared" si="10"/>
        <v>#N/A</v>
      </c>
    </row>
    <row r="49" spans="1:15" ht="12.75" hidden="1" customHeight="1" x14ac:dyDescent="0.25">
      <c r="A49" s="41">
        <v>33</v>
      </c>
      <c r="B49" s="18"/>
      <c r="C49" s="19" t="e">
        <f>VLOOKUP(B49,'коначна табела финал'!$B$1:$W$85,22,FALSE)</f>
        <v>#N/A</v>
      </c>
      <c r="D49" s="21" t="e">
        <f>VLOOKUP(B49,'коначна табела финал'!$B$1:$W$85,21,FALSE)</f>
        <v>#N/A</v>
      </c>
      <c r="E49" s="23" t="e">
        <f>VLOOKUP(B49,'коначна табела финал'!$B$1:$W$85,2,FALSE)</f>
        <v>#N/A</v>
      </c>
      <c r="F49" s="25" t="e">
        <f>VLOOKUP(B49,'коначна табела финал'!$B$1:$W$85,5,FALSE)</f>
        <v>#N/A</v>
      </c>
      <c r="G49" s="25" t="e">
        <f>IF(VLOOKUP(B49,'коначна табела финал'!$B$1:$W$85,6,FALSE)&gt;10,VLOOKUP(B49,'коначна табела финал'!$B$1:$W$85,6,FALSE),0)</f>
        <v>#N/A</v>
      </c>
      <c r="H49" s="28">
        <f>'коначна табела финал'!$H$11</f>
        <v>0</v>
      </c>
      <c r="I49" s="25" t="e">
        <f>VLOOKUP(B49,'коначна табела финал'!$B$1:$W$85,7,FALSE)</f>
        <v>#N/A</v>
      </c>
      <c r="J49" s="28">
        <f>'коначна табела финал'!$I$11</f>
        <v>0</v>
      </c>
      <c r="K49" s="30" t="e">
        <f>VLOOKUP(B49,'коначна табела финал'!$B$12:$W$81,$M$5+8,FALSE)</f>
        <v>#N/A</v>
      </c>
      <c r="L49" s="25" t="e">
        <f>VLOOKUP(B49,'коначна табела финал'!$B$1:$W$85,19,FALSE)</f>
        <v>#N/A</v>
      </c>
      <c r="M49" s="31" t="e">
        <f t="shared" si="8"/>
        <v>#N/A</v>
      </c>
      <c r="N49" s="31" t="e">
        <f t="shared" si="9"/>
        <v>#N/A</v>
      </c>
      <c r="O49" s="32" t="e">
        <f t="shared" si="10"/>
        <v>#N/A</v>
      </c>
    </row>
    <row r="50" spans="1:15" ht="12.75" hidden="1" customHeight="1" x14ac:dyDescent="0.25">
      <c r="A50" s="41">
        <v>34</v>
      </c>
      <c r="B50" s="18"/>
      <c r="C50" s="19" t="e">
        <f>VLOOKUP(B50,'коначна табела финал'!$B$1:$W$85,22,FALSE)</f>
        <v>#N/A</v>
      </c>
      <c r="D50" s="21" t="e">
        <f>VLOOKUP(B50,'коначна табела финал'!$B$1:$W$85,21,FALSE)</f>
        <v>#N/A</v>
      </c>
      <c r="E50" s="23" t="e">
        <f>VLOOKUP(B50,'коначна табела финал'!$B$1:$W$85,2,FALSE)</f>
        <v>#N/A</v>
      </c>
      <c r="F50" s="25" t="e">
        <f>VLOOKUP(B50,'коначна табела финал'!$B$1:$W$85,5,FALSE)</f>
        <v>#N/A</v>
      </c>
      <c r="G50" s="25" t="e">
        <f>IF(VLOOKUP(B50,'коначна табела финал'!$B$1:$W$85,6,FALSE)&gt;10,VLOOKUP(B50,'коначна табела финал'!$B$1:$W$85,6,FALSE),0)</f>
        <v>#N/A</v>
      </c>
      <c r="H50" s="28">
        <f>'коначна табела финал'!$H$11</f>
        <v>0</v>
      </c>
      <c r="I50" s="25" t="e">
        <f>VLOOKUP(B50,'коначна табела финал'!$B$1:$W$85,7,FALSE)</f>
        <v>#N/A</v>
      </c>
      <c r="J50" s="28">
        <f>'коначна табела финал'!$I$11</f>
        <v>0</v>
      </c>
      <c r="K50" s="30" t="e">
        <f>VLOOKUP(B50,'коначна табела финал'!$B$12:$W$81,$M$5+8,FALSE)</f>
        <v>#N/A</v>
      </c>
      <c r="L50" s="25" t="e">
        <f>VLOOKUP(B50,'коначна табела финал'!$B$1:$W$85,19,FALSE)</f>
        <v>#N/A</v>
      </c>
      <c r="M50" s="31" t="e">
        <f t="shared" si="8"/>
        <v>#N/A</v>
      </c>
      <c r="N50" s="31" t="e">
        <f t="shared" si="9"/>
        <v>#N/A</v>
      </c>
      <c r="O50" s="32" t="e">
        <f t="shared" si="10"/>
        <v>#N/A</v>
      </c>
    </row>
    <row r="51" spans="1:15" ht="12.75" hidden="1" customHeight="1" x14ac:dyDescent="0.25">
      <c r="A51" s="41">
        <v>35</v>
      </c>
      <c r="B51" s="18"/>
      <c r="C51" s="19" t="e">
        <f>VLOOKUP(B51,'коначна табела финал'!$B$1:$W$85,22,FALSE)</f>
        <v>#N/A</v>
      </c>
      <c r="D51" s="21" t="e">
        <f>VLOOKUP(B51,'коначна табела финал'!$B$1:$W$85,21,FALSE)</f>
        <v>#N/A</v>
      </c>
      <c r="E51" s="23" t="e">
        <f>VLOOKUP(B51,'коначна табела финал'!$B$1:$W$85,2,FALSE)</f>
        <v>#N/A</v>
      </c>
      <c r="F51" s="25" t="e">
        <f>VLOOKUP(B51,'коначна табела финал'!$B$1:$W$85,5,FALSE)</f>
        <v>#N/A</v>
      </c>
      <c r="G51" s="25" t="e">
        <f>IF(VLOOKUP(B51,'коначна табела финал'!$B$1:$W$85,6,FALSE)&gt;10,VLOOKUP(B51,'коначна табела финал'!$B$1:$W$85,6,FALSE),0)</f>
        <v>#N/A</v>
      </c>
      <c r="H51" s="28">
        <f>'коначна табела финал'!$H$11</f>
        <v>0</v>
      </c>
      <c r="I51" s="25" t="e">
        <f>VLOOKUP(B51,'коначна табела финал'!$B$1:$W$85,7,FALSE)</f>
        <v>#N/A</v>
      </c>
      <c r="J51" s="28">
        <f>'коначна табела финал'!$I$11</f>
        <v>0</v>
      </c>
      <c r="K51" s="30" t="e">
        <f>VLOOKUP(B51,'коначна табела финал'!$B$12:$W$81,$M$5+8,FALSE)</f>
        <v>#N/A</v>
      </c>
      <c r="L51" s="25" t="e">
        <f>VLOOKUP(B51,'коначна табела финал'!$B$1:$W$85,19,FALSE)</f>
        <v>#N/A</v>
      </c>
      <c r="M51" s="31" t="e">
        <f t="shared" si="8"/>
        <v>#N/A</v>
      </c>
      <c r="N51" s="31" t="e">
        <f t="shared" si="9"/>
        <v>#N/A</v>
      </c>
      <c r="O51" s="32" t="e">
        <f t="shared" si="10"/>
        <v>#N/A</v>
      </c>
    </row>
    <row r="52" spans="1:15" ht="12.75" hidden="1" customHeight="1" x14ac:dyDescent="0.25">
      <c r="A52" s="41">
        <v>36</v>
      </c>
      <c r="B52" s="18"/>
      <c r="C52" s="19" t="e">
        <f>VLOOKUP(B52,'коначна табела финал'!$B$1:$W$85,22,FALSE)</f>
        <v>#N/A</v>
      </c>
      <c r="D52" s="21" t="e">
        <f>VLOOKUP(B52,'коначна табела финал'!$B$1:$W$85,21,FALSE)</f>
        <v>#N/A</v>
      </c>
      <c r="E52" s="23" t="e">
        <f>VLOOKUP(B52,'коначна табела финал'!$B$1:$W$85,2,FALSE)</f>
        <v>#N/A</v>
      </c>
      <c r="F52" s="25" t="e">
        <f>VLOOKUP(B52,'коначна табела финал'!$B$1:$W$85,5,FALSE)</f>
        <v>#N/A</v>
      </c>
      <c r="G52" s="25" t="e">
        <f>IF(VLOOKUP(B52,'коначна табела финал'!$B$1:$W$85,6,FALSE)&gt;10,VLOOKUP(B52,'коначна табела финал'!$B$1:$W$85,6,FALSE),0)</f>
        <v>#N/A</v>
      </c>
      <c r="H52" s="28">
        <f>'коначна табела финал'!$H$11</f>
        <v>0</v>
      </c>
      <c r="I52" s="25" t="e">
        <f>VLOOKUP(B52,'коначна табела финал'!$B$1:$W$85,7,FALSE)</f>
        <v>#N/A</v>
      </c>
      <c r="J52" s="28">
        <f>'коначна табела финал'!$I$11</f>
        <v>0</v>
      </c>
      <c r="K52" s="30" t="e">
        <f>VLOOKUP(B52,'коначна табела финал'!$B$12:$W$81,$M$5+8,FALSE)</f>
        <v>#N/A</v>
      </c>
      <c r="L52" s="25" t="e">
        <f>VLOOKUP(B52,'коначна табела финал'!$B$1:$W$85,19,FALSE)</f>
        <v>#N/A</v>
      </c>
      <c r="M52" s="31" t="e">
        <f t="shared" si="8"/>
        <v>#N/A</v>
      </c>
      <c r="N52" s="31" t="e">
        <f t="shared" si="9"/>
        <v>#N/A</v>
      </c>
      <c r="O52" s="32" t="e">
        <f t="shared" si="10"/>
        <v>#N/A</v>
      </c>
    </row>
    <row r="53" spans="1:15" ht="12.75" hidden="1" customHeight="1" x14ac:dyDescent="0.25">
      <c r="A53" s="41">
        <v>37</v>
      </c>
      <c r="B53" s="18"/>
      <c r="C53" s="19" t="e">
        <f>VLOOKUP(B53,'коначна табела финал'!$B$1:$W$85,22,FALSE)</f>
        <v>#N/A</v>
      </c>
      <c r="D53" s="21" t="e">
        <f>VLOOKUP(B53,'коначна табела финал'!$B$1:$W$85,21,FALSE)</f>
        <v>#N/A</v>
      </c>
      <c r="E53" s="23" t="e">
        <f>VLOOKUP(B53,'коначна табела финал'!$B$1:$W$85,2,FALSE)</f>
        <v>#N/A</v>
      </c>
      <c r="F53" s="25" t="e">
        <f>VLOOKUP(B53,'коначна табела финал'!$B$1:$W$85,5,FALSE)</f>
        <v>#N/A</v>
      </c>
      <c r="G53" s="25" t="e">
        <f>IF(VLOOKUP(B53,'коначна табела финал'!$B$1:$W$85,6,FALSE)&gt;10,VLOOKUP(B53,'коначна табела финал'!$B$1:$W$85,6,FALSE),0)</f>
        <v>#N/A</v>
      </c>
      <c r="H53" s="28">
        <f>'коначна табела финал'!$H$11</f>
        <v>0</v>
      </c>
      <c r="I53" s="25" t="e">
        <f>VLOOKUP(B53,'коначна табела финал'!$B$1:$W$85,7,FALSE)</f>
        <v>#N/A</v>
      </c>
      <c r="J53" s="28">
        <f>'коначна табела финал'!$I$11</f>
        <v>0</v>
      </c>
      <c r="K53" s="30" t="e">
        <f>VLOOKUP(B53,'коначна табела финал'!$B$12:$W$81,$M$5+8,FALSE)</f>
        <v>#N/A</v>
      </c>
      <c r="L53" s="25" t="e">
        <f>VLOOKUP(B53,'коначна табела финал'!$B$1:$W$85,19,FALSE)</f>
        <v>#N/A</v>
      </c>
      <c r="M53" s="31" t="e">
        <f t="shared" si="8"/>
        <v>#N/A</v>
      </c>
      <c r="N53" s="31" t="e">
        <f t="shared" si="9"/>
        <v>#N/A</v>
      </c>
      <c r="O53" s="32" t="e">
        <f t="shared" si="10"/>
        <v>#N/A</v>
      </c>
    </row>
    <row r="54" spans="1:15" ht="13.5" hidden="1" customHeight="1" x14ac:dyDescent="0.25">
      <c r="A54" s="41">
        <v>38</v>
      </c>
      <c r="B54" s="18"/>
      <c r="C54" s="19" t="e">
        <f>VLOOKUP(B54,'коначна табела финал'!$B$1:$W$85,22,FALSE)</f>
        <v>#N/A</v>
      </c>
      <c r="D54" s="21" t="e">
        <f>VLOOKUP(B54,'коначна табела финал'!$B$1:$W$85,21,FALSE)</f>
        <v>#N/A</v>
      </c>
      <c r="E54" s="23" t="e">
        <f>VLOOKUP(B54,'коначна табела финал'!$B$1:$W$85,2,FALSE)</f>
        <v>#N/A</v>
      </c>
      <c r="F54" s="25" t="e">
        <f>VLOOKUP(B54,'коначна табела финал'!$B$1:$W$85,5,FALSE)</f>
        <v>#N/A</v>
      </c>
      <c r="G54" s="25" t="e">
        <f>IF(VLOOKUP(B54,'коначна табела финал'!$B$1:$W$85,6,FALSE)&gt;10,VLOOKUP(B54,'коначна табела финал'!$B$1:$W$85,6,FALSE),0)</f>
        <v>#N/A</v>
      </c>
      <c r="H54" s="28">
        <f>'коначна табела финал'!$H$11</f>
        <v>0</v>
      </c>
      <c r="I54" s="25" t="e">
        <f>VLOOKUP(B54,'коначна табела финал'!$B$1:$W$85,7,FALSE)</f>
        <v>#N/A</v>
      </c>
      <c r="J54" s="28">
        <f>'коначна табела финал'!$I$11</f>
        <v>0</v>
      </c>
      <c r="K54" s="30" t="e">
        <f>VLOOKUP(B54,'коначна табела финал'!$B$12:$W$81,$M$5+8,FALSE)</f>
        <v>#N/A</v>
      </c>
      <c r="L54" s="25" t="e">
        <f>VLOOKUP(B54,'коначна табела финал'!$B$1:$W$85,19,FALSE)</f>
        <v>#N/A</v>
      </c>
      <c r="M54" s="31" t="e">
        <f t="shared" si="8"/>
        <v>#N/A</v>
      </c>
      <c r="N54" s="31" t="e">
        <f t="shared" si="9"/>
        <v>#N/A</v>
      </c>
      <c r="O54" s="32" t="e">
        <f t="shared" si="10"/>
        <v>#N/A</v>
      </c>
    </row>
    <row r="55" spans="1:15" ht="12.75" hidden="1" customHeight="1" x14ac:dyDescent="0.25">
      <c r="A55" s="41">
        <v>53</v>
      </c>
      <c r="B55" s="18"/>
      <c r="C55" s="19" t="e">
        <f>VLOOKUP(B55,'коначна табела финал'!$B$1:$W$85,22,FALSE)</f>
        <v>#N/A</v>
      </c>
      <c r="D55" s="21" t="e">
        <f>VLOOKUP(B55,'коначна табела финал'!$B$1:$W$85,21,FALSE)</f>
        <v>#N/A</v>
      </c>
      <c r="E55" s="23" t="e">
        <f>VLOOKUP(B55,'коначна табела финал'!$B$1:$W$85,2,FALSE)</f>
        <v>#N/A</v>
      </c>
      <c r="F55" s="25" t="e">
        <f>VLOOKUP(B55,'коначна табела финал'!$B$1:$W$85,5,FALSE)</f>
        <v>#N/A</v>
      </c>
      <c r="G55" s="25" t="e">
        <f>IF(VLOOKUP(B55,'коначна табела финал'!$B$1:$W$85,6,FALSE)&gt;10,VLOOKUP(B55,'коначна табела финал'!$B$1:$W$85,6,FALSE),0)</f>
        <v>#N/A</v>
      </c>
      <c r="H55" s="28">
        <f>'коначна табела финал'!$H$11</f>
        <v>0</v>
      </c>
      <c r="I55" s="25" t="e">
        <f>VLOOKUP(B55,'коначна табела финал'!$B$1:$W$85,7,FALSE)</f>
        <v>#N/A</v>
      </c>
      <c r="J55" s="28">
        <f>'коначна табела финал'!$I$11</f>
        <v>0</v>
      </c>
      <c r="K55" s="30" t="e">
        <f>VLOOKUP(B55,'коначна табела финал'!$B$12:$W$81,$M$5+8,FALSE)</f>
        <v>#N/A</v>
      </c>
      <c r="L55" s="25" t="e">
        <f>VLOOKUP(B55,'коначна табела финал'!$B$1:$W$85,19,FALSE)</f>
        <v>#N/A</v>
      </c>
      <c r="M55" s="31" t="e">
        <f t="shared" si="8"/>
        <v>#N/A</v>
      </c>
      <c r="N55" s="31" t="e">
        <f t="shared" si="9"/>
        <v>#N/A</v>
      </c>
      <c r="O55" s="32" t="e">
        <f t="shared" si="10"/>
        <v>#N/A</v>
      </c>
    </row>
    <row r="56" spans="1:15" ht="12.75" hidden="1" customHeight="1" x14ac:dyDescent="0.25">
      <c r="A56" s="41">
        <v>54</v>
      </c>
      <c r="B56" s="18"/>
      <c r="C56" s="19" t="e">
        <f>VLOOKUP(B56,'коначна табела финал'!$B$1:$W$85,22,FALSE)</f>
        <v>#N/A</v>
      </c>
      <c r="D56" s="21" t="e">
        <f>VLOOKUP(B56,'коначна табела финал'!$B$1:$W$85,21,FALSE)</f>
        <v>#N/A</v>
      </c>
      <c r="E56" s="23" t="e">
        <f>VLOOKUP(B56,'коначна табела финал'!$B$1:$W$85,2,FALSE)</f>
        <v>#N/A</v>
      </c>
      <c r="F56" s="25" t="e">
        <f>VLOOKUP(B56,'коначна табела финал'!$B$1:$W$85,5,FALSE)</f>
        <v>#N/A</v>
      </c>
      <c r="G56" s="25" t="e">
        <f>IF(VLOOKUP(B56,'коначна табела финал'!$B$1:$W$85,6,FALSE)&gt;10,VLOOKUP(B56,'коначна табела финал'!$B$1:$W$85,6,FALSE),0)</f>
        <v>#N/A</v>
      </c>
      <c r="H56" s="28">
        <f>'коначна табела финал'!$H$11</f>
        <v>0</v>
      </c>
      <c r="I56" s="25" t="e">
        <f>VLOOKUP(B56,'коначна табела финал'!$B$1:$W$85,7,FALSE)</f>
        <v>#N/A</v>
      </c>
      <c r="J56" s="28">
        <f>'коначна табела финал'!$I$11</f>
        <v>0</v>
      </c>
      <c r="K56" s="30" t="e">
        <f>VLOOKUP(B56,'коначна табела финал'!$B$12:$W$81,$M$5+8,FALSE)</f>
        <v>#N/A</v>
      </c>
      <c r="L56" s="25" t="e">
        <f>VLOOKUP(B56,'коначна табела финал'!$B$1:$W$85,19,FALSE)</f>
        <v>#N/A</v>
      </c>
      <c r="M56" s="31" t="e">
        <f t="shared" si="8"/>
        <v>#N/A</v>
      </c>
      <c r="N56" s="31" t="e">
        <f t="shared" si="9"/>
        <v>#N/A</v>
      </c>
      <c r="O56" s="32" t="e">
        <f t="shared" si="10"/>
        <v>#N/A</v>
      </c>
    </row>
    <row r="57" spans="1:15" ht="12.75" hidden="1" customHeight="1" x14ac:dyDescent="0.25">
      <c r="A57" s="41">
        <v>55</v>
      </c>
      <c r="B57" s="18"/>
      <c r="C57" s="19" t="e">
        <f>VLOOKUP(B57,'коначна табела финал'!$B$1:$W$85,22,FALSE)</f>
        <v>#N/A</v>
      </c>
      <c r="D57" s="21" t="e">
        <f>VLOOKUP(B57,'коначна табела финал'!$B$1:$W$85,21,FALSE)</f>
        <v>#N/A</v>
      </c>
      <c r="E57" s="23" t="e">
        <f>VLOOKUP(B57,'коначна табела финал'!$B$1:$W$85,2,FALSE)</f>
        <v>#N/A</v>
      </c>
      <c r="F57" s="25" t="e">
        <f>VLOOKUP(B57,'коначна табела финал'!$B$1:$W$85,5,FALSE)</f>
        <v>#N/A</v>
      </c>
      <c r="G57" s="25" t="e">
        <f>IF(VLOOKUP(B57,'коначна табела финал'!$B$1:$W$85,6,FALSE)&gt;10,VLOOKUP(B57,'коначна табела финал'!$B$1:$W$85,6,FALSE),0)</f>
        <v>#N/A</v>
      </c>
      <c r="H57" s="28">
        <f>'коначна табела финал'!$H$11</f>
        <v>0</v>
      </c>
      <c r="I57" s="25" t="e">
        <f>VLOOKUP(B57,'коначна табела финал'!$B$1:$W$85,7,FALSE)</f>
        <v>#N/A</v>
      </c>
      <c r="J57" s="28">
        <f>'коначна табела финал'!$I$11</f>
        <v>0</v>
      </c>
      <c r="K57" s="30" t="e">
        <f>VLOOKUP(B57,'коначна табела финал'!$B$12:$W$81,$M$5+8,FALSE)</f>
        <v>#N/A</v>
      </c>
      <c r="L57" s="25" t="e">
        <f>VLOOKUP(B57,'коначна табела финал'!$B$1:$W$85,19,FALSE)</f>
        <v>#N/A</v>
      </c>
      <c r="M57" s="31" t="e">
        <f t="shared" si="8"/>
        <v>#N/A</v>
      </c>
      <c r="N57" s="31" t="e">
        <f t="shared" si="9"/>
        <v>#N/A</v>
      </c>
      <c r="O57" s="32" t="e">
        <f t="shared" si="10"/>
        <v>#N/A</v>
      </c>
    </row>
    <row r="58" spans="1:15" ht="12.75" hidden="1" customHeight="1" x14ac:dyDescent="0.25">
      <c r="A58" s="41">
        <v>56</v>
      </c>
      <c r="B58" s="18"/>
      <c r="C58" s="19" t="e">
        <f>VLOOKUP(B58,'коначна табела финал'!$B$1:$W$85,22,FALSE)</f>
        <v>#N/A</v>
      </c>
      <c r="D58" s="21" t="e">
        <f>VLOOKUP(B58,'коначна табела финал'!$B$1:$W$85,21,FALSE)</f>
        <v>#N/A</v>
      </c>
      <c r="E58" s="23" t="e">
        <f>VLOOKUP(B58,'коначна табела финал'!$B$1:$W$85,2,FALSE)</f>
        <v>#N/A</v>
      </c>
      <c r="F58" s="25" t="e">
        <f>VLOOKUP(B58,'коначна табела финал'!$B$1:$W$85,5,FALSE)</f>
        <v>#N/A</v>
      </c>
      <c r="G58" s="25" t="e">
        <f>IF(VLOOKUP(B58,'коначна табела финал'!$B$1:$W$85,6,FALSE)&gt;10,VLOOKUP(B58,'коначна табела финал'!$B$1:$W$85,6,FALSE),0)</f>
        <v>#N/A</v>
      </c>
      <c r="H58" s="28">
        <f>'коначна табела финал'!$H$11</f>
        <v>0</v>
      </c>
      <c r="I58" s="25" t="e">
        <f>VLOOKUP(B58,'коначна табела финал'!$B$1:$W$85,7,FALSE)</f>
        <v>#N/A</v>
      </c>
      <c r="J58" s="28">
        <f>'коначна табела финал'!$I$11</f>
        <v>0</v>
      </c>
      <c r="K58" s="30" t="e">
        <f>VLOOKUP(B58,'коначна табела финал'!$B$12:$W$81,$M$5+8,FALSE)</f>
        <v>#N/A</v>
      </c>
      <c r="L58" s="25" t="e">
        <f>VLOOKUP(B58,'коначна табела финал'!$B$1:$W$85,19,FALSE)</f>
        <v>#N/A</v>
      </c>
      <c r="M58" s="31" t="e">
        <f t="shared" si="8"/>
        <v>#N/A</v>
      </c>
      <c r="N58" s="31" t="e">
        <f t="shared" si="9"/>
        <v>#N/A</v>
      </c>
      <c r="O58" s="32" t="e">
        <f t="shared" si="10"/>
        <v>#N/A</v>
      </c>
    </row>
    <row r="59" spans="1:15" ht="12.75" hidden="1" customHeight="1" x14ac:dyDescent="0.25">
      <c r="A59" s="41">
        <v>57</v>
      </c>
      <c r="B59" s="18"/>
      <c r="C59" s="19" t="e">
        <f>VLOOKUP(B59,'коначна табела финал'!$B$1:$W$85,22,FALSE)</f>
        <v>#N/A</v>
      </c>
      <c r="D59" s="21" t="e">
        <f>VLOOKUP(B59,'коначна табела финал'!$B$1:$W$85,21,FALSE)</f>
        <v>#N/A</v>
      </c>
      <c r="E59" s="23" t="e">
        <f>VLOOKUP(B59,'коначна табела финал'!$B$1:$W$85,2,FALSE)</f>
        <v>#N/A</v>
      </c>
      <c r="F59" s="25" t="e">
        <f>VLOOKUP(B59,'коначна табела финал'!$B$1:$W$85,5,FALSE)</f>
        <v>#N/A</v>
      </c>
      <c r="G59" s="25" t="e">
        <f>IF(VLOOKUP(B59,'коначна табела финал'!$B$1:$W$85,6,FALSE)&gt;10,VLOOKUP(B59,'коначна табела финал'!$B$1:$W$85,6,FALSE),0)</f>
        <v>#N/A</v>
      </c>
      <c r="H59" s="28">
        <f>'коначна табела финал'!$H$11</f>
        <v>0</v>
      </c>
      <c r="I59" s="25" t="e">
        <f>VLOOKUP(B59,'коначна табела финал'!$B$1:$W$85,7,FALSE)</f>
        <v>#N/A</v>
      </c>
      <c r="J59" s="28">
        <f>'коначна табела финал'!$I$11</f>
        <v>0</v>
      </c>
      <c r="K59" s="30" t="e">
        <f>VLOOKUP(B59,'коначна табела финал'!$B$12:$W$81,$M$5+8,FALSE)</f>
        <v>#N/A</v>
      </c>
      <c r="L59" s="25" t="e">
        <f>VLOOKUP(B59,'коначна табела финал'!$B$1:$W$85,19,FALSE)</f>
        <v>#N/A</v>
      </c>
      <c r="M59" s="31" t="e">
        <f t="shared" si="8"/>
        <v>#N/A</v>
      </c>
      <c r="N59" s="31" t="e">
        <f t="shared" si="9"/>
        <v>#N/A</v>
      </c>
      <c r="O59" s="32" t="e">
        <f t="shared" si="10"/>
        <v>#N/A</v>
      </c>
    </row>
    <row r="60" spans="1:15" ht="12.75" hidden="1" customHeight="1" x14ac:dyDescent="0.25">
      <c r="A60" s="41">
        <v>58</v>
      </c>
      <c r="B60" s="18"/>
      <c r="C60" s="19" t="e">
        <f>VLOOKUP(B60,'коначна табела финал'!$B$1:$W$85,22,FALSE)</f>
        <v>#N/A</v>
      </c>
      <c r="D60" s="21" t="e">
        <f>VLOOKUP(B60,'коначна табела финал'!$B$1:$W$85,21,FALSE)</f>
        <v>#N/A</v>
      </c>
      <c r="E60" s="23" t="e">
        <f>VLOOKUP(B60,'коначна табела финал'!$B$1:$W$85,2,FALSE)</f>
        <v>#N/A</v>
      </c>
      <c r="F60" s="25" t="e">
        <f>VLOOKUP(B60,'коначна табела финал'!$B$1:$W$85,5,FALSE)</f>
        <v>#N/A</v>
      </c>
      <c r="G60" s="25" t="e">
        <f>IF(VLOOKUP(B60,'коначна табела финал'!$B$1:$W$85,6,FALSE)&gt;10,VLOOKUP(B60,'коначна табела финал'!$B$1:$W$85,6,FALSE),0)</f>
        <v>#N/A</v>
      </c>
      <c r="H60" s="28">
        <f>'коначна табела финал'!$H$11</f>
        <v>0</v>
      </c>
      <c r="I60" s="25" t="e">
        <f>VLOOKUP(B60,'коначна табела финал'!$B$1:$W$85,7,FALSE)</f>
        <v>#N/A</v>
      </c>
      <c r="J60" s="28">
        <f>'коначна табела финал'!$I$11</f>
        <v>0</v>
      </c>
      <c r="K60" s="30" t="e">
        <f>VLOOKUP(B60,'коначна табела финал'!$B$12:$W$81,$M$5+8,FALSE)</f>
        <v>#N/A</v>
      </c>
      <c r="L60" s="25" t="e">
        <f>VLOOKUP(B60,'коначна табела финал'!$B$1:$W$85,19,FALSE)</f>
        <v>#N/A</v>
      </c>
      <c r="M60" s="31" t="e">
        <f t="shared" si="8"/>
        <v>#N/A</v>
      </c>
      <c r="N60" s="31" t="e">
        <f t="shared" si="9"/>
        <v>#N/A</v>
      </c>
      <c r="O60" s="32" t="e">
        <f t="shared" si="10"/>
        <v>#N/A</v>
      </c>
    </row>
    <row r="61" spans="1:15" ht="12.75" hidden="1" customHeight="1" x14ac:dyDescent="0.25">
      <c r="A61" s="41">
        <v>59</v>
      </c>
      <c r="B61" s="18"/>
      <c r="C61" s="19" t="e">
        <f>VLOOKUP(B61,'коначна табела финал'!$B$1:$W$85,22,FALSE)</f>
        <v>#N/A</v>
      </c>
      <c r="D61" s="21" t="e">
        <f>VLOOKUP(B61,'коначна табела финал'!$B$1:$W$85,21,FALSE)</f>
        <v>#N/A</v>
      </c>
      <c r="E61" s="23" t="e">
        <f>VLOOKUP(B61,'коначна табела финал'!$B$1:$W$85,2,FALSE)</f>
        <v>#N/A</v>
      </c>
      <c r="F61" s="25" t="e">
        <f>VLOOKUP(B61,'коначна табела финал'!$B$1:$W$85,5,FALSE)</f>
        <v>#N/A</v>
      </c>
      <c r="G61" s="25" t="e">
        <f>IF(VLOOKUP(B61,'коначна табела финал'!$B$1:$W$85,6,FALSE)&gt;10,VLOOKUP(B61,'коначна табела финал'!$B$1:$W$85,6,FALSE),0)</f>
        <v>#N/A</v>
      </c>
      <c r="H61" s="28">
        <f>'коначна табела финал'!$H$11</f>
        <v>0</v>
      </c>
      <c r="I61" s="25" t="e">
        <f>VLOOKUP(B61,'коначна табела финал'!$B$1:$W$85,7,FALSE)</f>
        <v>#N/A</v>
      </c>
      <c r="J61" s="28">
        <f>'коначна табела финал'!$I$11</f>
        <v>0</v>
      </c>
      <c r="K61" s="30" t="e">
        <f>VLOOKUP(B61,'коначна табела финал'!$B$12:$W$81,$M$5+8,FALSE)</f>
        <v>#N/A</v>
      </c>
      <c r="L61" s="25" t="e">
        <f>VLOOKUP(B61,'коначна табела финал'!$B$1:$W$85,19,FALSE)</f>
        <v>#N/A</v>
      </c>
      <c r="M61" s="31" t="e">
        <f t="shared" si="8"/>
        <v>#N/A</v>
      </c>
      <c r="N61" s="31" t="e">
        <f t="shared" si="9"/>
        <v>#N/A</v>
      </c>
      <c r="O61" s="32" t="e">
        <f t="shared" si="10"/>
        <v>#N/A</v>
      </c>
    </row>
    <row r="62" spans="1:15" ht="12.75" hidden="1" customHeight="1" x14ac:dyDescent="0.25">
      <c r="A62" s="41">
        <v>60</v>
      </c>
      <c r="B62" s="18"/>
      <c r="C62" s="19" t="e">
        <f>VLOOKUP(B62,'коначна табела финал'!$B$1:$W$85,22,FALSE)</f>
        <v>#N/A</v>
      </c>
      <c r="D62" s="21" t="e">
        <f>VLOOKUP(B62,'коначна табела финал'!$B$1:$W$85,21,FALSE)</f>
        <v>#N/A</v>
      </c>
      <c r="E62" s="23" t="e">
        <f>VLOOKUP(B62,'коначна табела финал'!$B$1:$W$85,2,FALSE)</f>
        <v>#N/A</v>
      </c>
      <c r="F62" s="25" t="e">
        <f>VLOOKUP(B62,'коначна табела финал'!$B$1:$W$85,5,FALSE)</f>
        <v>#N/A</v>
      </c>
      <c r="G62" s="25" t="e">
        <f>IF(VLOOKUP(B62,'коначна табела финал'!$B$1:$W$85,6,FALSE)&gt;10,VLOOKUP(B62,'коначна табела финал'!$B$1:$W$85,6,FALSE),0)</f>
        <v>#N/A</v>
      </c>
      <c r="H62" s="28">
        <f>'коначна табела финал'!$H$11</f>
        <v>0</v>
      </c>
      <c r="I62" s="25" t="e">
        <f>VLOOKUP(B62,'коначна табела финал'!$B$1:$W$85,7,FALSE)</f>
        <v>#N/A</v>
      </c>
      <c r="J62" s="28">
        <f>'коначна табела финал'!$I$11</f>
        <v>0</v>
      </c>
      <c r="K62" s="30" t="e">
        <f>VLOOKUP(B62,'коначна табела финал'!$B$12:$W$81,$M$5+8,FALSE)</f>
        <v>#N/A</v>
      </c>
      <c r="L62" s="25" t="e">
        <f>VLOOKUP(B62,'коначна табела финал'!$B$1:$W$85,19,FALSE)</f>
        <v>#N/A</v>
      </c>
      <c r="M62" s="31" t="e">
        <f t="shared" si="8"/>
        <v>#N/A</v>
      </c>
      <c r="N62" s="31" t="e">
        <f t="shared" si="9"/>
        <v>#N/A</v>
      </c>
      <c r="O62" s="32" t="e">
        <f t="shared" si="10"/>
        <v>#N/A</v>
      </c>
    </row>
    <row r="63" spans="1:15" ht="12.75" hidden="1" customHeight="1" x14ac:dyDescent="0.25">
      <c r="A63" s="41">
        <v>61</v>
      </c>
      <c r="B63" s="18"/>
      <c r="C63" s="19" t="e">
        <f>VLOOKUP(B63,'коначна табела финал'!$B$1:$W$85,22,FALSE)</f>
        <v>#N/A</v>
      </c>
      <c r="D63" s="21" t="e">
        <f>VLOOKUP(B63,'коначна табела финал'!$B$1:$W$85,21,FALSE)</f>
        <v>#N/A</v>
      </c>
      <c r="E63" s="23" t="e">
        <f>VLOOKUP(B63,'коначна табела финал'!$B$1:$W$85,2,FALSE)</f>
        <v>#N/A</v>
      </c>
      <c r="F63" s="25" t="e">
        <f>VLOOKUP(B63,'коначна табела финал'!$B$1:$W$85,5,FALSE)</f>
        <v>#N/A</v>
      </c>
      <c r="G63" s="25" t="e">
        <f>IF(VLOOKUP(B63,'коначна табела финал'!$B$1:$W$85,6,FALSE)&gt;10,VLOOKUP(B63,'коначна табела финал'!$B$1:$W$85,6,FALSE),0)</f>
        <v>#N/A</v>
      </c>
      <c r="H63" s="28">
        <f>'коначна табела финал'!$H$11</f>
        <v>0</v>
      </c>
      <c r="I63" s="25" t="e">
        <f>VLOOKUP(B63,'коначна табела финал'!$B$1:$W$85,7,FALSE)</f>
        <v>#N/A</v>
      </c>
      <c r="J63" s="28">
        <f>'коначна табела финал'!$I$11</f>
        <v>0</v>
      </c>
      <c r="K63" s="30" t="e">
        <f>VLOOKUP(B63,'коначна табела финал'!$B$12:$W$81,$M$5+8,FALSE)</f>
        <v>#N/A</v>
      </c>
      <c r="L63" s="25" t="e">
        <f>VLOOKUP(B63,'коначна табела финал'!$B$1:$W$85,19,FALSE)</f>
        <v>#N/A</v>
      </c>
      <c r="M63" s="31" t="e">
        <f t="shared" si="8"/>
        <v>#N/A</v>
      </c>
      <c r="N63" s="31" t="e">
        <f t="shared" si="9"/>
        <v>#N/A</v>
      </c>
      <c r="O63" s="32" t="e">
        <f t="shared" si="10"/>
        <v>#N/A</v>
      </c>
    </row>
    <row r="64" spans="1:15" ht="12.75" hidden="1" customHeight="1" x14ac:dyDescent="0.25">
      <c r="A64" s="41">
        <v>62</v>
      </c>
      <c r="B64" s="18"/>
      <c r="C64" s="19" t="e">
        <f>VLOOKUP(B64,'коначна табела финал'!$B$1:$W$85,22,FALSE)</f>
        <v>#N/A</v>
      </c>
      <c r="D64" s="21" t="e">
        <f>VLOOKUP(B64,'коначна табела финал'!$B$1:$W$85,21,FALSE)</f>
        <v>#N/A</v>
      </c>
      <c r="E64" s="23" t="e">
        <f>VLOOKUP(B64,'коначна табела финал'!$B$1:$W$85,2,FALSE)</f>
        <v>#N/A</v>
      </c>
      <c r="F64" s="25" t="e">
        <f>VLOOKUP(B64,'коначна табела финал'!$B$1:$W$85,5,FALSE)</f>
        <v>#N/A</v>
      </c>
      <c r="G64" s="25" t="e">
        <f>IF(VLOOKUP(B64,'коначна табела финал'!$B$1:$W$85,6,FALSE)&gt;10,VLOOKUP(B64,'коначна табела финал'!$B$1:$W$85,6,FALSE),0)</f>
        <v>#N/A</v>
      </c>
      <c r="H64" s="28">
        <f>'коначна табела финал'!$H$11</f>
        <v>0</v>
      </c>
      <c r="I64" s="25" t="e">
        <f>VLOOKUP(B64,'коначна табела финал'!$B$1:$W$85,7,FALSE)</f>
        <v>#N/A</v>
      </c>
      <c r="J64" s="28">
        <f>'коначна табела финал'!$I$11</f>
        <v>0</v>
      </c>
      <c r="K64" s="30" t="e">
        <f>VLOOKUP(B64,'коначна табела финал'!$B$12:$W$81,$M$5+8,FALSE)</f>
        <v>#N/A</v>
      </c>
      <c r="L64" s="25" t="e">
        <f>VLOOKUP(B64,'коначна табела финал'!$B$1:$W$85,19,FALSE)</f>
        <v>#N/A</v>
      </c>
      <c r="M64" s="31" t="e">
        <f t="shared" si="8"/>
        <v>#N/A</v>
      </c>
      <c r="N64" s="31" t="e">
        <f t="shared" si="9"/>
        <v>#N/A</v>
      </c>
      <c r="O64" s="32" t="e">
        <f t="shared" si="10"/>
        <v>#N/A</v>
      </c>
    </row>
    <row r="65" spans="1:15" ht="12.75" hidden="1" customHeight="1" x14ac:dyDescent="0.25">
      <c r="A65" s="41">
        <v>63</v>
      </c>
      <c r="B65" s="18"/>
      <c r="C65" s="19" t="e">
        <f>VLOOKUP(B65,'коначна табела финал'!$B$1:$W$85,22,FALSE)</f>
        <v>#N/A</v>
      </c>
      <c r="D65" s="21" t="e">
        <f>VLOOKUP(B65,'коначна табела финал'!$B$1:$W$85,21,FALSE)</f>
        <v>#N/A</v>
      </c>
      <c r="E65" s="23" t="e">
        <f>VLOOKUP(B65,'коначна табела финал'!$B$1:$W$85,2,FALSE)</f>
        <v>#N/A</v>
      </c>
      <c r="F65" s="25" t="e">
        <f>VLOOKUP(B65,'коначна табела финал'!$B$1:$W$85,5,FALSE)</f>
        <v>#N/A</v>
      </c>
      <c r="G65" s="25" t="e">
        <f>IF(VLOOKUP(B65,'коначна табела финал'!$B$1:$W$85,6,FALSE)&gt;10,VLOOKUP(B65,'коначна табела финал'!$B$1:$W$85,6,FALSE),0)</f>
        <v>#N/A</v>
      </c>
      <c r="H65" s="28">
        <f>'коначна табела финал'!$H$11</f>
        <v>0</v>
      </c>
      <c r="I65" s="25" t="e">
        <f>VLOOKUP(B65,'коначна табела финал'!$B$1:$W$85,7,FALSE)</f>
        <v>#N/A</v>
      </c>
      <c r="J65" s="28">
        <f>'коначна табела финал'!$I$11</f>
        <v>0</v>
      </c>
      <c r="K65" s="30" t="e">
        <f>VLOOKUP(B65,'коначна табела финал'!$B$12:$W$81,$M$5+8,FALSE)</f>
        <v>#N/A</v>
      </c>
      <c r="L65" s="25" t="e">
        <f>VLOOKUP(B65,'коначна табела финал'!$B$1:$W$85,19,FALSE)</f>
        <v>#N/A</v>
      </c>
      <c r="M65" s="31" t="e">
        <f t="shared" si="8"/>
        <v>#N/A</v>
      </c>
      <c r="N65" s="31" t="e">
        <f t="shared" si="9"/>
        <v>#N/A</v>
      </c>
      <c r="O65" s="32" t="e">
        <f t="shared" si="10"/>
        <v>#N/A</v>
      </c>
    </row>
    <row r="66" spans="1:15" ht="12.75" hidden="1" customHeight="1" x14ac:dyDescent="0.25">
      <c r="A66" s="41">
        <v>64</v>
      </c>
      <c r="B66" s="18"/>
      <c r="C66" s="19" t="e">
        <f>VLOOKUP(B66,'коначна табела финал'!$B$1:$W$85,22,FALSE)</f>
        <v>#N/A</v>
      </c>
      <c r="D66" s="21" t="e">
        <f>VLOOKUP(B66,'коначна табела финал'!$B$1:$W$85,21,FALSE)</f>
        <v>#N/A</v>
      </c>
      <c r="E66" s="23" t="e">
        <f>VLOOKUP(B66,'коначна табела финал'!$B$1:$W$85,2,FALSE)</f>
        <v>#N/A</v>
      </c>
      <c r="F66" s="25" t="e">
        <f>VLOOKUP(B66,'коначна табела финал'!$B$1:$W$85,5,FALSE)</f>
        <v>#N/A</v>
      </c>
      <c r="G66" s="25" t="e">
        <f>IF(VLOOKUP(B66,'коначна табела финал'!$B$1:$W$85,6,FALSE)&gt;10,VLOOKUP(B66,'коначна табела финал'!$B$1:$W$85,6,FALSE),0)</f>
        <v>#N/A</v>
      </c>
      <c r="H66" s="28">
        <f>'коначна табела финал'!$H$11</f>
        <v>0</v>
      </c>
      <c r="I66" s="25" t="e">
        <f>VLOOKUP(B66,'коначна табела финал'!$B$1:$W$85,7,FALSE)</f>
        <v>#N/A</v>
      </c>
      <c r="J66" s="28">
        <f>'коначна табела финал'!$I$11</f>
        <v>0</v>
      </c>
      <c r="K66" s="30" t="e">
        <f>VLOOKUP(B66,'коначна табела финал'!$B$12:$W$81,$M$5+8,FALSE)</f>
        <v>#N/A</v>
      </c>
      <c r="L66" s="25" t="e">
        <f>VLOOKUP(B66,'коначна табела финал'!$B$1:$W$85,19,FALSE)</f>
        <v>#N/A</v>
      </c>
      <c r="M66" s="31" t="e">
        <f t="shared" si="8"/>
        <v>#N/A</v>
      </c>
      <c r="N66" s="31" t="e">
        <f t="shared" si="9"/>
        <v>#N/A</v>
      </c>
      <c r="O66" s="32" t="e">
        <f t="shared" si="10"/>
        <v>#N/A</v>
      </c>
    </row>
    <row r="67" spans="1:15" ht="12.75" hidden="1" customHeight="1" x14ac:dyDescent="0.25">
      <c r="A67" s="41">
        <v>65</v>
      </c>
      <c r="B67" s="18"/>
      <c r="C67" s="19" t="e">
        <f>VLOOKUP(B67,'коначна табела финал'!$B$1:$W$85,22,FALSE)</f>
        <v>#N/A</v>
      </c>
      <c r="D67" s="21" t="e">
        <f>VLOOKUP(B67,'коначна табела финал'!$B$1:$W$85,21,FALSE)</f>
        <v>#N/A</v>
      </c>
      <c r="E67" s="23" t="e">
        <f>VLOOKUP(B67,'коначна табела финал'!$B$1:$W$85,2,FALSE)</f>
        <v>#N/A</v>
      </c>
      <c r="F67" s="25" t="e">
        <f>VLOOKUP(B67,'коначна табела финал'!$B$1:$W$85,5,FALSE)</f>
        <v>#N/A</v>
      </c>
      <c r="G67" s="25" t="e">
        <f>IF(VLOOKUP(B67,'коначна табела финал'!$B$1:$W$85,6,FALSE)&gt;10,VLOOKUP(B67,'коначна табела финал'!$B$1:$W$85,6,FALSE),0)</f>
        <v>#N/A</v>
      </c>
      <c r="H67" s="28">
        <f>'коначна табела финал'!$H$11</f>
        <v>0</v>
      </c>
      <c r="I67" s="25" t="e">
        <f>VLOOKUP(B67,'коначна табела финал'!$B$1:$W$85,7,FALSE)</f>
        <v>#N/A</v>
      </c>
      <c r="J67" s="28">
        <f>'коначна табела финал'!$I$11</f>
        <v>0</v>
      </c>
      <c r="K67" s="30" t="e">
        <f>VLOOKUP(B67,'коначна табела финал'!$B$12:$W$81,$M$5+8,FALSE)</f>
        <v>#N/A</v>
      </c>
      <c r="L67" s="25" t="e">
        <f>VLOOKUP(B67,'коначна табела финал'!$B$1:$W$85,19,FALSE)</f>
        <v>#N/A</v>
      </c>
      <c r="M67" s="31" t="e">
        <f t="shared" si="8"/>
        <v>#N/A</v>
      </c>
      <c r="N67" s="31" t="e">
        <f t="shared" si="9"/>
        <v>#N/A</v>
      </c>
      <c r="O67" s="32" t="e">
        <f t="shared" si="10"/>
        <v>#N/A</v>
      </c>
    </row>
    <row r="68" spans="1:15" ht="13.5" hidden="1" customHeight="1" x14ac:dyDescent="0.25">
      <c r="A68" s="41">
        <v>66</v>
      </c>
      <c r="B68" s="18"/>
      <c r="C68" s="19" t="e">
        <f>VLOOKUP(B68,'коначна табела финал'!$B$1:$W$85,22,FALSE)</f>
        <v>#N/A</v>
      </c>
      <c r="D68" s="21" t="e">
        <f>VLOOKUP(B68,'коначна табела финал'!$B$1:$W$85,21,FALSE)</f>
        <v>#N/A</v>
      </c>
      <c r="E68" s="23" t="e">
        <f>VLOOKUP(B68,'коначна табела финал'!$B$1:$W$85,2,FALSE)</f>
        <v>#N/A</v>
      </c>
      <c r="F68" s="25" t="e">
        <f>VLOOKUP(B68,'коначна табела финал'!$B$1:$W$85,5,FALSE)</f>
        <v>#N/A</v>
      </c>
      <c r="G68" s="25" t="e">
        <f>IF(VLOOKUP(B68,'коначна табела финал'!$B$1:$W$85,6,FALSE)&gt;10,VLOOKUP(B68,'коначна табела финал'!$B$1:$W$85,6,FALSE),0)</f>
        <v>#N/A</v>
      </c>
      <c r="H68" s="28">
        <f>'коначна табела финал'!$H$11</f>
        <v>0</v>
      </c>
      <c r="I68" s="25" t="e">
        <f>VLOOKUP(B68,'коначна табела финал'!$B$1:$W$85,7,FALSE)</f>
        <v>#N/A</v>
      </c>
      <c r="J68" s="28">
        <f>'коначна табела финал'!$I$11</f>
        <v>0</v>
      </c>
      <c r="K68" s="30" t="e">
        <f>VLOOKUP(B68,'коначна табела финал'!$B$12:$W$81,$M$5+8,FALSE)</f>
        <v>#N/A</v>
      </c>
      <c r="L68" s="25" t="e">
        <f>VLOOKUP(B68,'коначна табела финал'!$B$1:$W$85,19,FALSE)</f>
        <v>#N/A</v>
      </c>
      <c r="M68" s="31" t="e">
        <f t="shared" si="8"/>
        <v>#N/A</v>
      </c>
      <c r="N68" s="31" t="e">
        <f t="shared" si="9"/>
        <v>#N/A</v>
      </c>
      <c r="O68" s="32" t="e">
        <f t="shared" si="10"/>
        <v>#N/A</v>
      </c>
    </row>
    <row r="69" spans="1:15" ht="13.5" customHeight="1" x14ac:dyDescent="0.2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spans="1:15" ht="12.75" customHeight="1" x14ac:dyDescent="0.25">
      <c r="A70" s="157"/>
      <c r="B70" s="157"/>
      <c r="C70" s="157"/>
      <c r="D70" s="157"/>
      <c r="E70" s="171" t="s">
        <v>78</v>
      </c>
      <c r="F70" s="167"/>
      <c r="G70" s="17"/>
      <c r="H70" s="171" t="s">
        <v>79</v>
      </c>
      <c r="I70" s="167"/>
      <c r="J70" s="171" t="s">
        <v>80</v>
      </c>
      <c r="K70" s="167"/>
      <c r="L70" s="171" t="s">
        <v>81</v>
      </c>
      <c r="M70" s="172"/>
      <c r="N70" s="172"/>
      <c r="O70" s="167"/>
    </row>
    <row r="71" spans="1:15" ht="12.75" customHeight="1" x14ac:dyDescent="0.25">
      <c r="A71" s="157"/>
      <c r="B71" s="157"/>
      <c r="C71" s="157"/>
      <c r="D71" s="157"/>
      <c r="E71" s="80" t="s">
        <v>82</v>
      </c>
      <c r="F71" s="81">
        <f>COUNTIF('коначна табела финал'!$W$12:$W$75,"С")</f>
        <v>46</v>
      </c>
      <c r="G71" s="41"/>
      <c r="H71" s="166">
        <v>16</v>
      </c>
      <c r="I71" s="167"/>
      <c r="J71" s="166">
        <v>6</v>
      </c>
      <c r="K71" s="167"/>
      <c r="L71" s="82">
        <f>IF(AND(H71&gt;0,J71=0),0,IF(AND(H71=0,J71=0),"*",SUMIF(M12:M68,"&gt;50,9")/J71))</f>
        <v>0</v>
      </c>
      <c r="M71" s="83"/>
      <c r="N71" s="83"/>
      <c r="O71" s="84">
        <v>8</v>
      </c>
    </row>
    <row r="72" spans="1:15" ht="13.5" customHeight="1" x14ac:dyDescent="0.25">
      <c r="A72" s="157"/>
      <c r="B72" s="157"/>
      <c r="C72" s="157"/>
      <c r="D72" s="157"/>
      <c r="E72" s="80" t="s">
        <v>83</v>
      </c>
      <c r="F72" s="81">
        <f>COUNTIF('коначна табела финал'!$W$12:$W$75,"О")</f>
        <v>0</v>
      </c>
      <c r="G72" s="41"/>
      <c r="H72" s="166">
        <f>COUNTIF($N$12:$N$68,"&gt;=0")</f>
        <v>0</v>
      </c>
      <c r="I72" s="167"/>
      <c r="J72" s="166">
        <f>COUNTIF($N$12:$N$68,"&gt;50,9")</f>
        <v>0</v>
      </c>
      <c r="K72" s="167"/>
      <c r="L72" s="82" t="str">
        <f>IF(AND(H72&gt;0,J72=0),0,IF(AND(H72=0,J72=0),"*",SUMIF(M12:M68,"&gt;50,9")/J72))</f>
        <v>*</v>
      </c>
      <c r="M72" s="83"/>
      <c r="N72" s="83"/>
      <c r="O72" s="84" t="str">
        <f>IF(L72="*","*",IF(L72&gt;90.9,"10/A (изузетан одличан)",IF(L72&gt;80.9,"9/Б (одличан)",IF(L72&gt;70.9,"8/Ц (врло добар)",IF(L72&gt;60.9,"7/Д (добар)",IF(L72&gt;50.9,"6/Е (довољан)","5/Ф (није положио)"))))))</f>
        <v>*</v>
      </c>
    </row>
    <row r="73" spans="1:15" ht="12.75" customHeight="1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1:15" ht="12.75" customHeight="1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 t="s">
        <v>84</v>
      </c>
      <c r="K74" s="157"/>
      <c r="L74" s="157"/>
      <c r="M74" s="157"/>
      <c r="N74" s="157"/>
      <c r="O74" s="157"/>
    </row>
    <row r="75" spans="1:15" ht="15.75" customHeight="1" x14ac:dyDescent="0.25"/>
    <row r="76" spans="1:15" ht="12.5" x14ac:dyDescent="0.25"/>
    <row r="77" spans="1:15" ht="12.5" x14ac:dyDescent="0.25"/>
    <row r="78" spans="1:15" ht="12.5" x14ac:dyDescent="0.25"/>
    <row r="79" spans="1:15" ht="12.5" x14ac:dyDescent="0.25"/>
    <row r="80" spans="1:15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</sheetData>
  <mergeCells count="23">
    <mergeCell ref="H72:I72"/>
    <mergeCell ref="J72:K72"/>
    <mergeCell ref="E70:F70"/>
    <mergeCell ref="H70:I70"/>
    <mergeCell ref="J70:K70"/>
    <mergeCell ref="L70:O70"/>
    <mergeCell ref="H71:I71"/>
    <mergeCell ref="J71:K71"/>
    <mergeCell ref="A7:O7"/>
    <mergeCell ref="A10:A11"/>
    <mergeCell ref="B10:B11"/>
    <mergeCell ref="C10:C11"/>
    <mergeCell ref="D10:D11"/>
    <mergeCell ref="E10:E11"/>
    <mergeCell ref="G10:H10"/>
    <mergeCell ref="I10:J10"/>
    <mergeCell ref="O10:O11"/>
    <mergeCell ref="C2:F2"/>
    <mergeCell ref="H2:L2"/>
    <mergeCell ref="D3:E3"/>
    <mergeCell ref="H3:J3"/>
    <mergeCell ref="A4:C4"/>
    <mergeCell ref="H4:L4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коначна табела финал</vt:lpstr>
      <vt:lpstr>студентскаJUL 2017 </vt:lpstr>
      <vt:lpstr>'коначна табела финал'!OLE_LINK1</vt:lpstr>
      <vt:lpstr>'коначна табела финал'!Table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radulj</dc:creator>
  <cp:lastModifiedBy>marina radulj</cp:lastModifiedBy>
  <cp:lastPrinted>2017-06-08T09:28:55Z</cp:lastPrinted>
  <dcterms:created xsi:type="dcterms:W3CDTF">2017-02-13T17:16:21Z</dcterms:created>
  <dcterms:modified xsi:type="dcterms:W3CDTF">2017-09-05T09:24:34Z</dcterms:modified>
</cp:coreProperties>
</file>